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EstaPastaDeTrabalho"/>
  <mc:AlternateContent xmlns:mc="http://schemas.openxmlformats.org/markup-compatibility/2006">
    <mc:Choice Requires="x15">
      <x15ac:absPath xmlns:x15ac="http://schemas.microsoft.com/office/spreadsheetml/2010/11/ac" url="https://d.docs.live.net/3d97c270e6709578/Área de Trabalho/Painel/painel-analise-ativos/Localhost/"/>
    </mc:Choice>
  </mc:AlternateContent>
  <xr:revisionPtr revIDLastSave="0" documentId="14_{F8F1035B-9AE7-422B-9212-1CF57E501D91}" xr6:coauthVersionLast="47" xr6:coauthVersionMax="47" xr10:uidLastSave="{00000000-0000-0000-0000-000000000000}"/>
  <bookViews>
    <workbookView xWindow="-120" yWindow="-120" windowWidth="20730" windowHeight="11160" activeTab="2" xr2:uid="{00000000-000D-0000-FFFF-FFFF00000000}"/>
  </bookViews>
  <sheets>
    <sheet name="Bovespa" sheetId="1" r:id="rId1"/>
    <sheet name="Streamlit" sheetId="9" r:id="rId2"/>
    <sheet name="Criptos" sheetId="10" r:id="rId3"/>
    <sheet name="ETF" sheetId="11" r:id="rId4"/>
    <sheet name="FII" sheetId="12" r:id="rId5"/>
    <sheet name="Fundamentus" sheetId="6" r:id="rId6"/>
    <sheet name="Cotacoes" sheetId="4" r:id="rId7"/>
  </sheets>
  <definedNames>
    <definedName name="_xlnm._FilterDatabase" localSheetId="0" hidden="1">Bovespa!$A$5:$FK$271</definedName>
    <definedName name="_xlnm._FilterDatabase" localSheetId="5" hidden="1">Fundamentus!$A$1:$U$1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Y7" i="1" l="1"/>
  <c r="DY8" i="1"/>
  <c r="DY9" i="1"/>
  <c r="DY10" i="1"/>
  <c r="DY11" i="1"/>
  <c r="DY12" i="1"/>
  <c r="DY13" i="1"/>
  <c r="DY14" i="1"/>
  <c r="DY15" i="1"/>
  <c r="DY16" i="1"/>
  <c r="DY17" i="1"/>
  <c r="DY18" i="1"/>
  <c r="DY19" i="1"/>
  <c r="DY20" i="1"/>
  <c r="DY21" i="1"/>
  <c r="DY22" i="1"/>
  <c r="DY23" i="1"/>
  <c r="DY24" i="1"/>
  <c r="DY25" i="1"/>
  <c r="DY26" i="1"/>
  <c r="DY27" i="1"/>
  <c r="DY28" i="1"/>
  <c r="DY29" i="1"/>
  <c r="DY30" i="1"/>
  <c r="DY31" i="1"/>
  <c r="DY32" i="1"/>
  <c r="DY33" i="1"/>
  <c r="DY34" i="1"/>
  <c r="DY35" i="1"/>
  <c r="DY36" i="1"/>
  <c r="DY37" i="1"/>
  <c r="DY38" i="1"/>
  <c r="DY39" i="1"/>
  <c r="DY40" i="1"/>
  <c r="DY41" i="1"/>
  <c r="DY42" i="1"/>
  <c r="DY43" i="1"/>
  <c r="DY44" i="1"/>
  <c r="DY45" i="1"/>
  <c r="DY46" i="1"/>
  <c r="DY47" i="1"/>
  <c r="DY48" i="1"/>
  <c r="DY49" i="1"/>
  <c r="DY50" i="1"/>
  <c r="DY51" i="1"/>
  <c r="DY52" i="1"/>
  <c r="DY53" i="1"/>
  <c r="DY54" i="1"/>
  <c r="DY55" i="1"/>
  <c r="DY56" i="1"/>
  <c r="DY57" i="1"/>
  <c r="DY58" i="1"/>
  <c r="DY59" i="1"/>
  <c r="DY60" i="1"/>
  <c r="DY61" i="1"/>
  <c r="DY62" i="1"/>
  <c r="DY63" i="1"/>
  <c r="DY64" i="1"/>
  <c r="DY65" i="1"/>
  <c r="DY66" i="1"/>
  <c r="DY67" i="1"/>
  <c r="DY68" i="1"/>
  <c r="DY69" i="1"/>
  <c r="DY70" i="1"/>
  <c r="DY71" i="1"/>
  <c r="DY72" i="1"/>
  <c r="DY73" i="1"/>
  <c r="DY74" i="1"/>
  <c r="DY75" i="1"/>
  <c r="DY76" i="1"/>
  <c r="DY77" i="1"/>
  <c r="DY78" i="1"/>
  <c r="DY79" i="1"/>
  <c r="DY80" i="1"/>
  <c r="DY81" i="1"/>
  <c r="DY82" i="1"/>
  <c r="DY83" i="1"/>
  <c r="DY84" i="1"/>
  <c r="DY85" i="1"/>
  <c r="DY86" i="1"/>
  <c r="DY87" i="1"/>
  <c r="DY88" i="1"/>
  <c r="DY89" i="1"/>
  <c r="DY90" i="1"/>
  <c r="DY91" i="1"/>
  <c r="DY92" i="1"/>
  <c r="DY93" i="1"/>
  <c r="DY94" i="1"/>
  <c r="DY95" i="1"/>
  <c r="DY96" i="1"/>
  <c r="DY97" i="1"/>
  <c r="DY98" i="1"/>
  <c r="DY99" i="1"/>
  <c r="DY100" i="1"/>
  <c r="DY101" i="1"/>
  <c r="DY102" i="1"/>
  <c r="DY103" i="1"/>
  <c r="DY104" i="1"/>
  <c r="DY105" i="1"/>
  <c r="DY106" i="1"/>
  <c r="DY107" i="1"/>
  <c r="DY108" i="1"/>
  <c r="DY109" i="1"/>
  <c r="DY110" i="1"/>
  <c r="DY111" i="1"/>
  <c r="DY112" i="1"/>
  <c r="DY113" i="1"/>
  <c r="DY114" i="1"/>
  <c r="DY115" i="1"/>
  <c r="DY116" i="1"/>
  <c r="DY117" i="1"/>
  <c r="DY118" i="1"/>
  <c r="DY119" i="1"/>
  <c r="DY120" i="1"/>
  <c r="DY121" i="1"/>
  <c r="DY122" i="1"/>
  <c r="DY123" i="1"/>
  <c r="DY124" i="1"/>
  <c r="DY125" i="1"/>
  <c r="DY126" i="1"/>
  <c r="DY127" i="1"/>
  <c r="DY128" i="1"/>
  <c r="DY129" i="1"/>
  <c r="DY130" i="1"/>
  <c r="DY131" i="1"/>
  <c r="DY132" i="1"/>
  <c r="DY133" i="1"/>
  <c r="DY134" i="1"/>
  <c r="DY135" i="1"/>
  <c r="DY136" i="1"/>
  <c r="DY137" i="1"/>
  <c r="DY138" i="1"/>
  <c r="DY139" i="1"/>
  <c r="DY140" i="1"/>
  <c r="DY141" i="1"/>
  <c r="DY142" i="1"/>
  <c r="DY143" i="1"/>
  <c r="DY144" i="1"/>
  <c r="DY145" i="1"/>
  <c r="DY146" i="1"/>
  <c r="DY147" i="1"/>
  <c r="DY148" i="1"/>
  <c r="DY149" i="1"/>
  <c r="DY150" i="1"/>
  <c r="DY151" i="1"/>
  <c r="DY152" i="1"/>
  <c r="DY153" i="1"/>
  <c r="DY154" i="1"/>
  <c r="DY155" i="1"/>
  <c r="DY156" i="1"/>
  <c r="DY157" i="1"/>
  <c r="DY158" i="1"/>
  <c r="DY159" i="1"/>
  <c r="DY160" i="1"/>
  <c r="DY161" i="1"/>
  <c r="DY162" i="1"/>
  <c r="DY163" i="1"/>
  <c r="DY164" i="1"/>
  <c r="DY165" i="1"/>
  <c r="DY166" i="1"/>
  <c r="DY167" i="1"/>
  <c r="DY168" i="1"/>
  <c r="DY169" i="1"/>
  <c r="DY170" i="1"/>
  <c r="DY171" i="1"/>
  <c r="DY172" i="1"/>
  <c r="DY173" i="1"/>
  <c r="DY174" i="1"/>
  <c r="DY175" i="1"/>
  <c r="DY176" i="1"/>
  <c r="DY177" i="1"/>
  <c r="DY178" i="1"/>
  <c r="DY179" i="1"/>
  <c r="DY180" i="1"/>
  <c r="DY181" i="1"/>
  <c r="DY182" i="1"/>
  <c r="DY183" i="1"/>
  <c r="DY184" i="1"/>
  <c r="DY185" i="1"/>
  <c r="DY186" i="1"/>
  <c r="DY187" i="1"/>
  <c r="DY188" i="1"/>
  <c r="DY189" i="1"/>
  <c r="DY190" i="1"/>
  <c r="DY191" i="1"/>
  <c r="DY192" i="1"/>
  <c r="DY193" i="1"/>
  <c r="DY194" i="1"/>
  <c r="DY195" i="1"/>
  <c r="DY196" i="1"/>
  <c r="DY197" i="1"/>
  <c r="DY198" i="1"/>
  <c r="DY199" i="1"/>
  <c r="DY200" i="1"/>
  <c r="DY201" i="1"/>
  <c r="DY202" i="1"/>
  <c r="DY203" i="1"/>
  <c r="DY204" i="1"/>
  <c r="DY205" i="1"/>
  <c r="DY206" i="1"/>
  <c r="DY207" i="1"/>
  <c r="DY208" i="1"/>
  <c r="DY209" i="1"/>
  <c r="DY210" i="1"/>
  <c r="DY211" i="1"/>
  <c r="DY212" i="1"/>
  <c r="DY213" i="1"/>
  <c r="DY214" i="1"/>
  <c r="DY215" i="1"/>
  <c r="DY216" i="1"/>
  <c r="DY217" i="1"/>
  <c r="DY218" i="1"/>
  <c r="DY219" i="1"/>
  <c r="DY220" i="1"/>
  <c r="DY221" i="1"/>
  <c r="DY222" i="1"/>
  <c r="DY223" i="1"/>
  <c r="DY224" i="1"/>
  <c r="DY225" i="1"/>
  <c r="DY226" i="1"/>
  <c r="DY227" i="1"/>
  <c r="DY228" i="1"/>
  <c r="DY229" i="1"/>
  <c r="DY230" i="1"/>
  <c r="DY231" i="1"/>
  <c r="DY232" i="1"/>
  <c r="DY233" i="1"/>
  <c r="DY234" i="1"/>
  <c r="DY235" i="1"/>
  <c r="DY236" i="1"/>
  <c r="DY237" i="1"/>
  <c r="DY238" i="1"/>
  <c r="DY239" i="1"/>
  <c r="DY240" i="1"/>
  <c r="DY241" i="1"/>
  <c r="DY242" i="1"/>
  <c r="DY243" i="1"/>
  <c r="DY244" i="1"/>
  <c r="DY245" i="1"/>
  <c r="DY246" i="1"/>
  <c r="DY247" i="1"/>
  <c r="DY248" i="1"/>
  <c r="DY249" i="1"/>
  <c r="DY250" i="1"/>
  <c r="DY251" i="1"/>
  <c r="DY252" i="1"/>
  <c r="DY253" i="1"/>
  <c r="DY254" i="1"/>
  <c r="DY255" i="1"/>
  <c r="DY256" i="1"/>
  <c r="DY257" i="1"/>
  <c r="DY258" i="1"/>
  <c r="DY259" i="1"/>
  <c r="DY260" i="1"/>
  <c r="DY261" i="1"/>
  <c r="DY262" i="1"/>
  <c r="DY263" i="1"/>
  <c r="DY264" i="1"/>
  <c r="DY265" i="1"/>
  <c r="DY266" i="1"/>
  <c r="DY267" i="1"/>
  <c r="DY268" i="1"/>
  <c r="DY269" i="1"/>
  <c r="DY270" i="1"/>
  <c r="DY271" i="1"/>
  <c r="DY6" i="1"/>
  <c r="CA7" i="1"/>
  <c r="CB7" i="1"/>
  <c r="CC7" i="1"/>
  <c r="CA8" i="1"/>
  <c r="CB8" i="1"/>
  <c r="CC8" i="1"/>
  <c r="CA9" i="1"/>
  <c r="CB9" i="1"/>
  <c r="CC9" i="1"/>
  <c r="CA10" i="1"/>
  <c r="CB10" i="1"/>
  <c r="CC10" i="1"/>
  <c r="CA11" i="1"/>
  <c r="CB11" i="1"/>
  <c r="CC11" i="1"/>
  <c r="CA12" i="1"/>
  <c r="CB12" i="1"/>
  <c r="CC12" i="1"/>
  <c r="CA13" i="1"/>
  <c r="CB13" i="1"/>
  <c r="CC13" i="1"/>
  <c r="CA14" i="1"/>
  <c r="CB14" i="1"/>
  <c r="CC14" i="1"/>
  <c r="CA15" i="1"/>
  <c r="CB15" i="1"/>
  <c r="CC15" i="1"/>
  <c r="CA16" i="1"/>
  <c r="CB16" i="1"/>
  <c r="CC16" i="1"/>
  <c r="CA17" i="1"/>
  <c r="CB17" i="1"/>
  <c r="CC17" i="1"/>
  <c r="CA18" i="1"/>
  <c r="CB18" i="1"/>
  <c r="CC18" i="1"/>
  <c r="CA19" i="1"/>
  <c r="CB19" i="1"/>
  <c r="CC19" i="1"/>
  <c r="CA20" i="1"/>
  <c r="CB20" i="1"/>
  <c r="CC20" i="1"/>
  <c r="CA21" i="1"/>
  <c r="CB21" i="1"/>
  <c r="CC21" i="1"/>
  <c r="CA22" i="1"/>
  <c r="CB22" i="1"/>
  <c r="CC22" i="1"/>
  <c r="CA23" i="1"/>
  <c r="CB23" i="1"/>
  <c r="CC23" i="1"/>
  <c r="CA24" i="1"/>
  <c r="CB24" i="1"/>
  <c r="CC24" i="1"/>
  <c r="CA25" i="1"/>
  <c r="CB25" i="1"/>
  <c r="CC25" i="1"/>
  <c r="CA26" i="1"/>
  <c r="CB26" i="1"/>
  <c r="CC26" i="1"/>
  <c r="CA27" i="1"/>
  <c r="CB27" i="1"/>
  <c r="CC27" i="1"/>
  <c r="CA28" i="1"/>
  <c r="CB28" i="1"/>
  <c r="CC28" i="1"/>
  <c r="CA29" i="1"/>
  <c r="CB29" i="1"/>
  <c r="CC29" i="1"/>
  <c r="CA30" i="1"/>
  <c r="CB30" i="1"/>
  <c r="CC30" i="1"/>
  <c r="CA31" i="1"/>
  <c r="CB31" i="1"/>
  <c r="CC31" i="1"/>
  <c r="CA32" i="1"/>
  <c r="CB32" i="1"/>
  <c r="CC32" i="1"/>
  <c r="CA33" i="1"/>
  <c r="CB33" i="1"/>
  <c r="CC33" i="1"/>
  <c r="CA34" i="1"/>
  <c r="CB34" i="1"/>
  <c r="CC34" i="1"/>
  <c r="CA35" i="1"/>
  <c r="CB35" i="1"/>
  <c r="CC35" i="1"/>
  <c r="CA36" i="1"/>
  <c r="CB36" i="1"/>
  <c r="CC36" i="1"/>
  <c r="CA37" i="1"/>
  <c r="CB37" i="1"/>
  <c r="CC37" i="1"/>
  <c r="CA38" i="1"/>
  <c r="CB38" i="1"/>
  <c r="CC38" i="1"/>
  <c r="CA39" i="1"/>
  <c r="CB39" i="1"/>
  <c r="CC39" i="1"/>
  <c r="CA40" i="1"/>
  <c r="CB40" i="1"/>
  <c r="CC40" i="1"/>
  <c r="CA41" i="1"/>
  <c r="CB41" i="1"/>
  <c r="CC41" i="1"/>
  <c r="CA42" i="1"/>
  <c r="CB42" i="1"/>
  <c r="CC42" i="1"/>
  <c r="CA43" i="1"/>
  <c r="CB43" i="1"/>
  <c r="CC43" i="1"/>
  <c r="CA44" i="1"/>
  <c r="CB44" i="1"/>
  <c r="CC44" i="1"/>
  <c r="CA45" i="1"/>
  <c r="CB45" i="1"/>
  <c r="CC45" i="1"/>
  <c r="CA46" i="1"/>
  <c r="CB46" i="1"/>
  <c r="CC46" i="1"/>
  <c r="CA47" i="1"/>
  <c r="CB47" i="1"/>
  <c r="CC47" i="1"/>
  <c r="CA48" i="1"/>
  <c r="CB48" i="1"/>
  <c r="CC48" i="1"/>
  <c r="CA49" i="1"/>
  <c r="CB49" i="1"/>
  <c r="CC49" i="1"/>
  <c r="CA50" i="1"/>
  <c r="CB50" i="1"/>
  <c r="CC50" i="1"/>
  <c r="CA51" i="1"/>
  <c r="CB51" i="1"/>
  <c r="CC51" i="1"/>
  <c r="CA52" i="1"/>
  <c r="CB52" i="1"/>
  <c r="CC52" i="1"/>
  <c r="CA53" i="1"/>
  <c r="CB53" i="1"/>
  <c r="CC53" i="1"/>
  <c r="CA54" i="1"/>
  <c r="CB54" i="1"/>
  <c r="CC54" i="1"/>
  <c r="CA55" i="1"/>
  <c r="CB55" i="1"/>
  <c r="CC55" i="1"/>
  <c r="CA56" i="1"/>
  <c r="CB56" i="1"/>
  <c r="CC56" i="1"/>
  <c r="CA57" i="1"/>
  <c r="CB57" i="1"/>
  <c r="CC57" i="1"/>
  <c r="CA58" i="1"/>
  <c r="CB58" i="1"/>
  <c r="CC58" i="1"/>
  <c r="CA59" i="1"/>
  <c r="CB59" i="1"/>
  <c r="CC59" i="1"/>
  <c r="CA60" i="1"/>
  <c r="CB60" i="1"/>
  <c r="CC60" i="1"/>
  <c r="CA61" i="1"/>
  <c r="CB61" i="1"/>
  <c r="CC61" i="1"/>
  <c r="CA62" i="1"/>
  <c r="CB62" i="1"/>
  <c r="CC62" i="1"/>
  <c r="CA63" i="1"/>
  <c r="CB63" i="1"/>
  <c r="CC63" i="1"/>
  <c r="CA64" i="1"/>
  <c r="CB64" i="1"/>
  <c r="CC64" i="1"/>
  <c r="CA65" i="1"/>
  <c r="CB65" i="1"/>
  <c r="CC65" i="1"/>
  <c r="CA66" i="1"/>
  <c r="CB66" i="1"/>
  <c r="CC66" i="1"/>
  <c r="CA67" i="1"/>
  <c r="CB67" i="1"/>
  <c r="CC67" i="1"/>
  <c r="CA68" i="1"/>
  <c r="CB68" i="1"/>
  <c r="CC68" i="1"/>
  <c r="CA69" i="1"/>
  <c r="CB69" i="1"/>
  <c r="CC69" i="1"/>
  <c r="CA70" i="1"/>
  <c r="CB70" i="1"/>
  <c r="CC70" i="1"/>
  <c r="CA71" i="1"/>
  <c r="CB71" i="1"/>
  <c r="CC71" i="1"/>
  <c r="CA72" i="1"/>
  <c r="CB72" i="1"/>
  <c r="CC72" i="1"/>
  <c r="CA73" i="1"/>
  <c r="CB73" i="1"/>
  <c r="CC73" i="1"/>
  <c r="CA74" i="1"/>
  <c r="CB74" i="1"/>
  <c r="CC74" i="1"/>
  <c r="CA75" i="1"/>
  <c r="CB75" i="1"/>
  <c r="CC75" i="1"/>
  <c r="CA76" i="1"/>
  <c r="CB76" i="1"/>
  <c r="CC76" i="1"/>
  <c r="CA77" i="1"/>
  <c r="CB77" i="1"/>
  <c r="CC77" i="1"/>
  <c r="CA78" i="1"/>
  <c r="CB78" i="1"/>
  <c r="CC78" i="1"/>
  <c r="CA79" i="1"/>
  <c r="CB79" i="1"/>
  <c r="CC79" i="1"/>
  <c r="CA80" i="1"/>
  <c r="CB80" i="1"/>
  <c r="CC80" i="1"/>
  <c r="CA81" i="1"/>
  <c r="CB81" i="1"/>
  <c r="CC81" i="1"/>
  <c r="CA82" i="1"/>
  <c r="CB82" i="1"/>
  <c r="CC82" i="1"/>
  <c r="CA83" i="1"/>
  <c r="CB83" i="1"/>
  <c r="CC83" i="1"/>
  <c r="CA84" i="1"/>
  <c r="CB84" i="1"/>
  <c r="CC84" i="1"/>
  <c r="CA85" i="1"/>
  <c r="CB85" i="1"/>
  <c r="CC85" i="1"/>
  <c r="CA86" i="1"/>
  <c r="CB86" i="1"/>
  <c r="CC86" i="1"/>
  <c r="CA87" i="1"/>
  <c r="CB87" i="1"/>
  <c r="CC87" i="1"/>
  <c r="CA88" i="1"/>
  <c r="CB88" i="1"/>
  <c r="CC88" i="1"/>
  <c r="CA89" i="1"/>
  <c r="CB89" i="1"/>
  <c r="CC89" i="1"/>
  <c r="CA90" i="1"/>
  <c r="CB90" i="1"/>
  <c r="CC90" i="1"/>
  <c r="CA91" i="1"/>
  <c r="CB91" i="1"/>
  <c r="CC91" i="1"/>
  <c r="CA92" i="1"/>
  <c r="CB92" i="1"/>
  <c r="CC92" i="1"/>
  <c r="CA93" i="1"/>
  <c r="CB93" i="1"/>
  <c r="CC93" i="1"/>
  <c r="CA94" i="1"/>
  <c r="CB94" i="1"/>
  <c r="CC94" i="1"/>
  <c r="CA95" i="1"/>
  <c r="CB95" i="1"/>
  <c r="CC95" i="1"/>
  <c r="CA96" i="1"/>
  <c r="CB96" i="1"/>
  <c r="CC96" i="1"/>
  <c r="CA97" i="1"/>
  <c r="CB97" i="1"/>
  <c r="CC97" i="1"/>
  <c r="CA98" i="1"/>
  <c r="CB98" i="1"/>
  <c r="CC98" i="1"/>
  <c r="CA99" i="1"/>
  <c r="CB99" i="1"/>
  <c r="CC99" i="1"/>
  <c r="CA100" i="1"/>
  <c r="CB100" i="1"/>
  <c r="CC100" i="1"/>
  <c r="CA101" i="1"/>
  <c r="CB101" i="1"/>
  <c r="CC101" i="1"/>
  <c r="CA102" i="1"/>
  <c r="CB102" i="1"/>
  <c r="CC102" i="1"/>
  <c r="CA103" i="1"/>
  <c r="CB103" i="1"/>
  <c r="CC103" i="1"/>
  <c r="CA104" i="1"/>
  <c r="CB104" i="1"/>
  <c r="CC104" i="1"/>
  <c r="CA105" i="1"/>
  <c r="CB105" i="1"/>
  <c r="CC105" i="1"/>
  <c r="CA106" i="1"/>
  <c r="CB106" i="1"/>
  <c r="CC106" i="1"/>
  <c r="CA107" i="1"/>
  <c r="CB107" i="1"/>
  <c r="CC107" i="1"/>
  <c r="CA108" i="1"/>
  <c r="CB108" i="1"/>
  <c r="CC108" i="1"/>
  <c r="CA109" i="1"/>
  <c r="CB109" i="1"/>
  <c r="CC109" i="1"/>
  <c r="CA110" i="1"/>
  <c r="CB110" i="1"/>
  <c r="CC110" i="1"/>
  <c r="CA111" i="1"/>
  <c r="CB111" i="1"/>
  <c r="CC111" i="1"/>
  <c r="CA112" i="1"/>
  <c r="CB112" i="1"/>
  <c r="CC112" i="1"/>
  <c r="CA113" i="1"/>
  <c r="CB113" i="1"/>
  <c r="CC113" i="1"/>
  <c r="CA114" i="1"/>
  <c r="CB114" i="1"/>
  <c r="CC114" i="1"/>
  <c r="CA115" i="1"/>
  <c r="CB115" i="1"/>
  <c r="CC115" i="1"/>
  <c r="CA116" i="1"/>
  <c r="CB116" i="1"/>
  <c r="CC116" i="1"/>
  <c r="CA117" i="1"/>
  <c r="CB117" i="1"/>
  <c r="CC117" i="1"/>
  <c r="CA118" i="1"/>
  <c r="CB118" i="1"/>
  <c r="CC118" i="1"/>
  <c r="CA119" i="1"/>
  <c r="CB119" i="1"/>
  <c r="CC119" i="1"/>
  <c r="CA120" i="1"/>
  <c r="CB120" i="1"/>
  <c r="CC120" i="1"/>
  <c r="CA121" i="1"/>
  <c r="CB121" i="1"/>
  <c r="CC121" i="1"/>
  <c r="CA122" i="1"/>
  <c r="CB122" i="1"/>
  <c r="CC122" i="1"/>
  <c r="CA123" i="1"/>
  <c r="CB123" i="1"/>
  <c r="CC123" i="1"/>
  <c r="CA124" i="1"/>
  <c r="CB124" i="1"/>
  <c r="CC124" i="1"/>
  <c r="CA125" i="1"/>
  <c r="CB125" i="1"/>
  <c r="CC125" i="1"/>
  <c r="CA126" i="1"/>
  <c r="CB126" i="1"/>
  <c r="CC126" i="1"/>
  <c r="CA127" i="1"/>
  <c r="CB127" i="1"/>
  <c r="CC127" i="1"/>
  <c r="CA128" i="1"/>
  <c r="CB128" i="1"/>
  <c r="CC128" i="1"/>
  <c r="CA129" i="1"/>
  <c r="CB129" i="1"/>
  <c r="CC129" i="1"/>
  <c r="CA130" i="1"/>
  <c r="CB130" i="1"/>
  <c r="CC130" i="1"/>
  <c r="CA131" i="1"/>
  <c r="CB131" i="1"/>
  <c r="CC131" i="1"/>
  <c r="CA132" i="1"/>
  <c r="CB132" i="1"/>
  <c r="CC132" i="1"/>
  <c r="CA133" i="1"/>
  <c r="CB133" i="1"/>
  <c r="CC133" i="1"/>
  <c r="CA134" i="1"/>
  <c r="CB134" i="1"/>
  <c r="CC134" i="1"/>
  <c r="CA135" i="1"/>
  <c r="CB135" i="1"/>
  <c r="CC135" i="1"/>
  <c r="CA136" i="1"/>
  <c r="CB136" i="1"/>
  <c r="CC136" i="1"/>
  <c r="CA137" i="1"/>
  <c r="CB137" i="1"/>
  <c r="CC137" i="1"/>
  <c r="CA138" i="1"/>
  <c r="CB138" i="1"/>
  <c r="CC138" i="1"/>
  <c r="CA139" i="1"/>
  <c r="CB139" i="1"/>
  <c r="CC139" i="1"/>
  <c r="CA140" i="1"/>
  <c r="CB140" i="1"/>
  <c r="CC140" i="1"/>
  <c r="CA141" i="1"/>
  <c r="CB141" i="1"/>
  <c r="CC141" i="1"/>
  <c r="CA142" i="1"/>
  <c r="CB142" i="1"/>
  <c r="CC142" i="1"/>
  <c r="CA143" i="1"/>
  <c r="CB143" i="1"/>
  <c r="CC143" i="1"/>
  <c r="CA144" i="1"/>
  <c r="CB144" i="1"/>
  <c r="CC144" i="1"/>
  <c r="CA145" i="1"/>
  <c r="CB145" i="1"/>
  <c r="CC145" i="1"/>
  <c r="CA146" i="1"/>
  <c r="CB146" i="1"/>
  <c r="CC146" i="1"/>
  <c r="CA147" i="1"/>
  <c r="CB147" i="1"/>
  <c r="CC147" i="1"/>
  <c r="CA148" i="1"/>
  <c r="CB148" i="1"/>
  <c r="CC148" i="1"/>
  <c r="CA149" i="1"/>
  <c r="CB149" i="1"/>
  <c r="CC149" i="1"/>
  <c r="CA150" i="1"/>
  <c r="CB150" i="1"/>
  <c r="CC150" i="1"/>
  <c r="CA151" i="1"/>
  <c r="CB151" i="1"/>
  <c r="CC151" i="1"/>
  <c r="CA152" i="1"/>
  <c r="CB152" i="1"/>
  <c r="CC152" i="1"/>
  <c r="CA153" i="1"/>
  <c r="CB153" i="1"/>
  <c r="CC153" i="1"/>
  <c r="CA154" i="1"/>
  <c r="CB154" i="1"/>
  <c r="CC154" i="1"/>
  <c r="CA155" i="1"/>
  <c r="CB155" i="1"/>
  <c r="CC155" i="1"/>
  <c r="CA156" i="1"/>
  <c r="CB156" i="1"/>
  <c r="CC156" i="1"/>
  <c r="CA157" i="1"/>
  <c r="CB157" i="1"/>
  <c r="CC157" i="1"/>
  <c r="CA158" i="1"/>
  <c r="CB158" i="1"/>
  <c r="CC158" i="1"/>
  <c r="CA159" i="1"/>
  <c r="CB159" i="1"/>
  <c r="CC159" i="1"/>
  <c r="CA160" i="1"/>
  <c r="CB160" i="1"/>
  <c r="CC160" i="1"/>
  <c r="CA161" i="1"/>
  <c r="CB161" i="1"/>
  <c r="CC161" i="1"/>
  <c r="CA162" i="1"/>
  <c r="CB162" i="1"/>
  <c r="CC162" i="1"/>
  <c r="CA163" i="1"/>
  <c r="CB163" i="1"/>
  <c r="CC163" i="1"/>
  <c r="CA164" i="1"/>
  <c r="CB164" i="1"/>
  <c r="CC164" i="1"/>
  <c r="CA165" i="1"/>
  <c r="CB165" i="1"/>
  <c r="CC165" i="1"/>
  <c r="CA166" i="1"/>
  <c r="CB166" i="1"/>
  <c r="CC166" i="1"/>
  <c r="CA167" i="1"/>
  <c r="CB167" i="1"/>
  <c r="CC167" i="1"/>
  <c r="CA168" i="1"/>
  <c r="CB168" i="1"/>
  <c r="CC168" i="1"/>
  <c r="CA169" i="1"/>
  <c r="CB169" i="1"/>
  <c r="CC169" i="1"/>
  <c r="CA170" i="1"/>
  <c r="CB170" i="1"/>
  <c r="CC170" i="1"/>
  <c r="CA171" i="1"/>
  <c r="CB171" i="1"/>
  <c r="CC171" i="1"/>
  <c r="CA172" i="1"/>
  <c r="CB172" i="1"/>
  <c r="CC172" i="1"/>
  <c r="CA173" i="1"/>
  <c r="CB173" i="1"/>
  <c r="CC173" i="1"/>
  <c r="CA174" i="1"/>
  <c r="CB174" i="1"/>
  <c r="CC174" i="1"/>
  <c r="CA175" i="1"/>
  <c r="CB175" i="1"/>
  <c r="CC175" i="1"/>
  <c r="CA176" i="1"/>
  <c r="CB176" i="1"/>
  <c r="CC176" i="1"/>
  <c r="CA177" i="1"/>
  <c r="CB177" i="1"/>
  <c r="CC177" i="1"/>
  <c r="CA178" i="1"/>
  <c r="CB178" i="1"/>
  <c r="CC178" i="1"/>
  <c r="CA179" i="1"/>
  <c r="CB179" i="1"/>
  <c r="CC179" i="1"/>
  <c r="CA180" i="1"/>
  <c r="CB180" i="1"/>
  <c r="CC180" i="1"/>
  <c r="CA181" i="1"/>
  <c r="CB181" i="1"/>
  <c r="CC181" i="1"/>
  <c r="CA182" i="1"/>
  <c r="CB182" i="1"/>
  <c r="CC182" i="1"/>
  <c r="CA183" i="1"/>
  <c r="CB183" i="1"/>
  <c r="CC183" i="1"/>
  <c r="CA184" i="1"/>
  <c r="CB184" i="1"/>
  <c r="CC184" i="1"/>
  <c r="CA185" i="1"/>
  <c r="CB185" i="1"/>
  <c r="CC185" i="1"/>
  <c r="CA186" i="1"/>
  <c r="CB186" i="1"/>
  <c r="CC186" i="1"/>
  <c r="CA187" i="1"/>
  <c r="CB187" i="1"/>
  <c r="CC187" i="1"/>
  <c r="CA188" i="1"/>
  <c r="CB188" i="1"/>
  <c r="CC188" i="1"/>
  <c r="CA189" i="1"/>
  <c r="CB189" i="1"/>
  <c r="CC189" i="1"/>
  <c r="CA190" i="1"/>
  <c r="CB190" i="1"/>
  <c r="CC190" i="1"/>
  <c r="CA191" i="1"/>
  <c r="CB191" i="1"/>
  <c r="CC191" i="1"/>
  <c r="CA192" i="1"/>
  <c r="CB192" i="1"/>
  <c r="CC192" i="1"/>
  <c r="CA193" i="1"/>
  <c r="CB193" i="1"/>
  <c r="CC193" i="1"/>
  <c r="CA194" i="1"/>
  <c r="CB194" i="1"/>
  <c r="CC194" i="1"/>
  <c r="CA195" i="1"/>
  <c r="CB195" i="1"/>
  <c r="CC195" i="1"/>
  <c r="CA196" i="1"/>
  <c r="CB196" i="1"/>
  <c r="CC196" i="1"/>
  <c r="CA197" i="1"/>
  <c r="CB197" i="1"/>
  <c r="CC197" i="1"/>
  <c r="CA198" i="1"/>
  <c r="CB198" i="1"/>
  <c r="CC198" i="1"/>
  <c r="CA199" i="1"/>
  <c r="CB199" i="1"/>
  <c r="CC199" i="1"/>
  <c r="CA200" i="1"/>
  <c r="CB200" i="1"/>
  <c r="CC200" i="1"/>
  <c r="CA201" i="1"/>
  <c r="CB201" i="1"/>
  <c r="CC201" i="1"/>
  <c r="CA202" i="1"/>
  <c r="CB202" i="1"/>
  <c r="CC202" i="1"/>
  <c r="CA203" i="1"/>
  <c r="CB203" i="1"/>
  <c r="CC203" i="1"/>
  <c r="CA204" i="1"/>
  <c r="CB204" i="1"/>
  <c r="CC204" i="1"/>
  <c r="CA205" i="1"/>
  <c r="CB205" i="1"/>
  <c r="CC205" i="1"/>
  <c r="CA206" i="1"/>
  <c r="CB206" i="1"/>
  <c r="CC206" i="1"/>
  <c r="CA207" i="1"/>
  <c r="CB207" i="1"/>
  <c r="CC207" i="1"/>
  <c r="CA208" i="1"/>
  <c r="CB208" i="1"/>
  <c r="CC208" i="1"/>
  <c r="CA209" i="1"/>
  <c r="CB209" i="1"/>
  <c r="CC209" i="1"/>
  <c r="CA210" i="1"/>
  <c r="CB210" i="1"/>
  <c r="CC210" i="1"/>
  <c r="CA211" i="1"/>
  <c r="CB211" i="1"/>
  <c r="CC211" i="1"/>
  <c r="CA212" i="1"/>
  <c r="CB212" i="1"/>
  <c r="CC212" i="1"/>
  <c r="CA213" i="1"/>
  <c r="CB213" i="1"/>
  <c r="CC213" i="1"/>
  <c r="CA214" i="1"/>
  <c r="CB214" i="1"/>
  <c r="CC214" i="1"/>
  <c r="CA215" i="1"/>
  <c r="CB215" i="1"/>
  <c r="CC215" i="1"/>
  <c r="CA216" i="1"/>
  <c r="CB216" i="1"/>
  <c r="CC216" i="1"/>
  <c r="CA217" i="1"/>
  <c r="CB217" i="1"/>
  <c r="CC217" i="1"/>
  <c r="CA218" i="1"/>
  <c r="CB218" i="1"/>
  <c r="CC218" i="1"/>
  <c r="CA219" i="1"/>
  <c r="CB219" i="1"/>
  <c r="CC219" i="1"/>
  <c r="CA220" i="1"/>
  <c r="CB220" i="1"/>
  <c r="CC220" i="1"/>
  <c r="CA221" i="1"/>
  <c r="CB221" i="1"/>
  <c r="CC221" i="1"/>
  <c r="CA222" i="1"/>
  <c r="CB222" i="1"/>
  <c r="CC222" i="1"/>
  <c r="CA223" i="1"/>
  <c r="CB223" i="1"/>
  <c r="CC223" i="1"/>
  <c r="CA224" i="1"/>
  <c r="CB224" i="1"/>
  <c r="CC224" i="1"/>
  <c r="CA225" i="1"/>
  <c r="CB225" i="1"/>
  <c r="CC225" i="1"/>
  <c r="CA226" i="1"/>
  <c r="CB226" i="1"/>
  <c r="CC226" i="1"/>
  <c r="CA227" i="1"/>
  <c r="CB227" i="1"/>
  <c r="CC227" i="1"/>
  <c r="CA228" i="1"/>
  <c r="CB228" i="1"/>
  <c r="CC228" i="1"/>
  <c r="CA229" i="1"/>
  <c r="CB229" i="1"/>
  <c r="CC229" i="1"/>
  <c r="CA230" i="1"/>
  <c r="CB230" i="1"/>
  <c r="CC230" i="1"/>
  <c r="CA231" i="1"/>
  <c r="CB231" i="1"/>
  <c r="CC231" i="1"/>
  <c r="CA232" i="1"/>
  <c r="CB232" i="1"/>
  <c r="CC232" i="1"/>
  <c r="CA233" i="1"/>
  <c r="CB233" i="1"/>
  <c r="CC233" i="1"/>
  <c r="CA234" i="1"/>
  <c r="CB234" i="1"/>
  <c r="CC234" i="1"/>
  <c r="CA235" i="1"/>
  <c r="CB235" i="1"/>
  <c r="CC235" i="1"/>
  <c r="CA236" i="1"/>
  <c r="CB236" i="1"/>
  <c r="CC236" i="1"/>
  <c r="CA237" i="1"/>
  <c r="CB237" i="1"/>
  <c r="CC237" i="1"/>
  <c r="CA238" i="1"/>
  <c r="CB238" i="1"/>
  <c r="CC238" i="1"/>
  <c r="CA239" i="1"/>
  <c r="CB239" i="1"/>
  <c r="CC239" i="1"/>
  <c r="CA240" i="1"/>
  <c r="CB240" i="1"/>
  <c r="CC240" i="1"/>
  <c r="CA241" i="1"/>
  <c r="CB241" i="1"/>
  <c r="CC241" i="1"/>
  <c r="CA242" i="1"/>
  <c r="CB242" i="1"/>
  <c r="CC242" i="1"/>
  <c r="CA243" i="1"/>
  <c r="CB243" i="1"/>
  <c r="CC243" i="1"/>
  <c r="CA244" i="1"/>
  <c r="CB244" i="1"/>
  <c r="CC244" i="1"/>
  <c r="CA245" i="1"/>
  <c r="CB245" i="1"/>
  <c r="CC245" i="1"/>
  <c r="CA246" i="1"/>
  <c r="CB246" i="1"/>
  <c r="CC246" i="1"/>
  <c r="CA247" i="1"/>
  <c r="CB247" i="1"/>
  <c r="CC247" i="1"/>
  <c r="CA248" i="1"/>
  <c r="CB248" i="1"/>
  <c r="CC248" i="1"/>
  <c r="CA249" i="1"/>
  <c r="CB249" i="1"/>
  <c r="CC249" i="1"/>
  <c r="CA250" i="1"/>
  <c r="CB250" i="1"/>
  <c r="CC250" i="1"/>
  <c r="CA251" i="1"/>
  <c r="CB251" i="1"/>
  <c r="CC251" i="1"/>
  <c r="CA252" i="1"/>
  <c r="CB252" i="1"/>
  <c r="CC252" i="1"/>
  <c r="CA253" i="1"/>
  <c r="CB253" i="1"/>
  <c r="CC253" i="1"/>
  <c r="CA254" i="1"/>
  <c r="CB254" i="1"/>
  <c r="CC254" i="1"/>
  <c r="CA255" i="1"/>
  <c r="CB255" i="1"/>
  <c r="CC255" i="1"/>
  <c r="CA256" i="1"/>
  <c r="CB256" i="1"/>
  <c r="CC256" i="1"/>
  <c r="CA257" i="1"/>
  <c r="CB257" i="1"/>
  <c r="CC257" i="1"/>
  <c r="CA258" i="1"/>
  <c r="CB258" i="1"/>
  <c r="CC258" i="1"/>
  <c r="CA259" i="1"/>
  <c r="CB259" i="1"/>
  <c r="CC259" i="1"/>
  <c r="CA260" i="1"/>
  <c r="CB260" i="1"/>
  <c r="CC260" i="1"/>
  <c r="CA261" i="1"/>
  <c r="CB261" i="1"/>
  <c r="CC261" i="1"/>
  <c r="CA262" i="1"/>
  <c r="CB262" i="1"/>
  <c r="CC262" i="1"/>
  <c r="CA263" i="1"/>
  <c r="CB263" i="1"/>
  <c r="CC263" i="1"/>
  <c r="CA264" i="1"/>
  <c r="CB264" i="1"/>
  <c r="CC264" i="1"/>
  <c r="CA265" i="1"/>
  <c r="CB265" i="1"/>
  <c r="CC265" i="1"/>
  <c r="CA266" i="1"/>
  <c r="CB266" i="1"/>
  <c r="CC266" i="1"/>
  <c r="CA267" i="1"/>
  <c r="CB267" i="1"/>
  <c r="CC267" i="1"/>
  <c r="CA268" i="1"/>
  <c r="CB268" i="1"/>
  <c r="CC268" i="1"/>
  <c r="CA269" i="1"/>
  <c r="CB269" i="1"/>
  <c r="CC269" i="1"/>
  <c r="CA270" i="1"/>
  <c r="CB270" i="1"/>
  <c r="CC270" i="1"/>
  <c r="CA271" i="1"/>
  <c r="CB271" i="1"/>
  <c r="CC271" i="1"/>
  <c r="CC6" i="1"/>
  <c r="CB6" i="1"/>
  <c r="CA6" i="1"/>
  <c r="CF6" i="1"/>
  <c r="CF7" i="1"/>
  <c r="CF8" i="1"/>
  <c r="CF9" i="1"/>
  <c r="CF10" i="1"/>
  <c r="CF11" i="1"/>
  <c r="CF12" i="1"/>
  <c r="CF13" i="1"/>
  <c r="CF14" i="1"/>
  <c r="CF15" i="1"/>
  <c r="CF16" i="1"/>
  <c r="CF17" i="1"/>
  <c r="CF18" i="1"/>
  <c r="CF19" i="1"/>
  <c r="CF20" i="1"/>
  <c r="CF21" i="1"/>
  <c r="CF22" i="1"/>
  <c r="CF23" i="1"/>
  <c r="CF24" i="1"/>
  <c r="CF25" i="1"/>
  <c r="CF26" i="1"/>
  <c r="CF27" i="1"/>
  <c r="CF28" i="1"/>
  <c r="CF29" i="1"/>
  <c r="CF30" i="1"/>
  <c r="CF31" i="1"/>
  <c r="CF32" i="1"/>
  <c r="CF33" i="1"/>
  <c r="CF34" i="1"/>
  <c r="CF35" i="1"/>
  <c r="CF36" i="1"/>
  <c r="CF37" i="1"/>
  <c r="CF38" i="1"/>
  <c r="CF39" i="1"/>
  <c r="CF40" i="1"/>
  <c r="CF41" i="1"/>
  <c r="CF42" i="1"/>
  <c r="CF43" i="1"/>
  <c r="CF44" i="1"/>
  <c r="CF45" i="1"/>
  <c r="CF46" i="1"/>
  <c r="CF47" i="1"/>
  <c r="CF48" i="1"/>
  <c r="CF49" i="1"/>
  <c r="CF50" i="1"/>
  <c r="CF51" i="1"/>
  <c r="CF52" i="1"/>
  <c r="CF53" i="1"/>
  <c r="CF54" i="1"/>
  <c r="CF55" i="1"/>
  <c r="CF56" i="1"/>
  <c r="CF57" i="1"/>
  <c r="CF58" i="1"/>
  <c r="CF59" i="1"/>
  <c r="CF60" i="1"/>
  <c r="CF61" i="1"/>
  <c r="CF62" i="1"/>
  <c r="CF63" i="1"/>
  <c r="CF64" i="1"/>
  <c r="CF65" i="1"/>
  <c r="CF66" i="1"/>
  <c r="CF67" i="1"/>
  <c r="CF68" i="1"/>
  <c r="CF69" i="1"/>
  <c r="CF70" i="1"/>
  <c r="CF71" i="1"/>
  <c r="CF72" i="1"/>
  <c r="CF73" i="1"/>
  <c r="CF74" i="1"/>
  <c r="CF75" i="1"/>
  <c r="CF76" i="1"/>
  <c r="CF77" i="1"/>
  <c r="CF78" i="1"/>
  <c r="CF79" i="1"/>
  <c r="CF80" i="1"/>
  <c r="CF81" i="1"/>
  <c r="CF82" i="1"/>
  <c r="CF83" i="1"/>
  <c r="CF84" i="1"/>
  <c r="CF85" i="1"/>
  <c r="CF86" i="1"/>
  <c r="CF87" i="1"/>
  <c r="CF88" i="1"/>
  <c r="CF89" i="1"/>
  <c r="CF90" i="1"/>
  <c r="CF91" i="1"/>
  <c r="CF92" i="1"/>
  <c r="CF93" i="1"/>
  <c r="CF94" i="1"/>
  <c r="CF95" i="1"/>
  <c r="CF96" i="1"/>
  <c r="CF97" i="1"/>
  <c r="CF98" i="1"/>
  <c r="CF99" i="1"/>
  <c r="CF100" i="1"/>
  <c r="CF101" i="1"/>
  <c r="CF102" i="1"/>
  <c r="CF103" i="1"/>
  <c r="CF104" i="1"/>
  <c r="CF105" i="1"/>
  <c r="CF106" i="1"/>
  <c r="CF107" i="1"/>
  <c r="CF108" i="1"/>
  <c r="CF109" i="1"/>
  <c r="CF110" i="1"/>
  <c r="CF111" i="1"/>
  <c r="CF112" i="1"/>
  <c r="CF113" i="1"/>
  <c r="CF114" i="1"/>
  <c r="CF115" i="1"/>
  <c r="CF116" i="1"/>
  <c r="CF117" i="1"/>
  <c r="CF118" i="1"/>
  <c r="CF119" i="1"/>
  <c r="CF120" i="1"/>
  <c r="CF121" i="1"/>
  <c r="CF122" i="1"/>
  <c r="CF123" i="1"/>
  <c r="CF124" i="1"/>
  <c r="CF125" i="1"/>
  <c r="CF126" i="1"/>
  <c r="CF127" i="1"/>
  <c r="CF128" i="1"/>
  <c r="CF129" i="1"/>
  <c r="CF130" i="1"/>
  <c r="CF131" i="1"/>
  <c r="CF132" i="1"/>
  <c r="CF133" i="1"/>
  <c r="CF134" i="1"/>
  <c r="CF135" i="1"/>
  <c r="CF136" i="1"/>
  <c r="CF137" i="1"/>
  <c r="CF138" i="1"/>
  <c r="CF139" i="1"/>
  <c r="CF140" i="1"/>
  <c r="CF141" i="1"/>
  <c r="CF142" i="1"/>
  <c r="CF143" i="1"/>
  <c r="CF144" i="1"/>
  <c r="CF145" i="1"/>
  <c r="CF146" i="1"/>
  <c r="CF147" i="1"/>
  <c r="CF148" i="1"/>
  <c r="CF149" i="1"/>
  <c r="CF150" i="1"/>
  <c r="CF151" i="1"/>
  <c r="CF152" i="1"/>
  <c r="CF153" i="1"/>
  <c r="CF154" i="1"/>
  <c r="CF155" i="1"/>
  <c r="CF156" i="1"/>
  <c r="CF157" i="1"/>
  <c r="CF158" i="1"/>
  <c r="CF159" i="1"/>
  <c r="CF160" i="1"/>
  <c r="CF161" i="1"/>
  <c r="CF162" i="1"/>
  <c r="CF163" i="1"/>
  <c r="CF164" i="1"/>
  <c r="CF165" i="1"/>
  <c r="CF166" i="1"/>
  <c r="CF167" i="1"/>
  <c r="CF168" i="1"/>
  <c r="CF169" i="1"/>
  <c r="CF170" i="1"/>
  <c r="CF171" i="1"/>
  <c r="CF172" i="1"/>
  <c r="CF173" i="1"/>
  <c r="CF174" i="1"/>
  <c r="CF175" i="1"/>
  <c r="CF176" i="1"/>
  <c r="CF177" i="1"/>
  <c r="CF178" i="1"/>
  <c r="CF179" i="1"/>
  <c r="CF180" i="1"/>
  <c r="CF181" i="1"/>
  <c r="CF182" i="1"/>
  <c r="CF183" i="1"/>
  <c r="CF184" i="1"/>
  <c r="CF185" i="1"/>
  <c r="CF186" i="1"/>
  <c r="CF187" i="1"/>
  <c r="CF188" i="1"/>
  <c r="CF189" i="1"/>
  <c r="CF190" i="1"/>
  <c r="CF191" i="1"/>
  <c r="CF192" i="1"/>
  <c r="CF193" i="1"/>
  <c r="CF194" i="1"/>
  <c r="CF195" i="1"/>
  <c r="CF196" i="1"/>
  <c r="CF197" i="1"/>
  <c r="CF198" i="1"/>
  <c r="CF199" i="1"/>
  <c r="CF200" i="1"/>
  <c r="CF201" i="1"/>
  <c r="CF202" i="1"/>
  <c r="CF203" i="1"/>
  <c r="CF204" i="1"/>
  <c r="CF205" i="1"/>
  <c r="CF206" i="1"/>
  <c r="CF207" i="1"/>
  <c r="CF208" i="1"/>
  <c r="CF209" i="1"/>
  <c r="CF210" i="1"/>
  <c r="CF211" i="1"/>
  <c r="CF212" i="1"/>
  <c r="CF213" i="1"/>
  <c r="CF214" i="1"/>
  <c r="CF215" i="1"/>
  <c r="CF216" i="1"/>
  <c r="CF217" i="1"/>
  <c r="CF218" i="1"/>
  <c r="CF219" i="1"/>
  <c r="CF220" i="1"/>
  <c r="CF221" i="1"/>
  <c r="CF222" i="1"/>
  <c r="CF223" i="1"/>
  <c r="CF224" i="1"/>
  <c r="CF225" i="1"/>
  <c r="CF226" i="1"/>
  <c r="CF227" i="1"/>
  <c r="CF228" i="1"/>
  <c r="CF229" i="1"/>
  <c r="CF230" i="1"/>
  <c r="CF231" i="1"/>
  <c r="CF232" i="1"/>
  <c r="CF233" i="1"/>
  <c r="CF234" i="1"/>
  <c r="CF235" i="1"/>
  <c r="CF236" i="1"/>
  <c r="CF237" i="1"/>
  <c r="CF238" i="1"/>
  <c r="CF239" i="1"/>
  <c r="CF240" i="1"/>
  <c r="CF241" i="1"/>
  <c r="CF242" i="1"/>
  <c r="CF243" i="1"/>
  <c r="CF244" i="1"/>
  <c r="CF245" i="1"/>
  <c r="CF246" i="1"/>
  <c r="CF247" i="1"/>
  <c r="CF248" i="1"/>
  <c r="CF249" i="1"/>
  <c r="CF250" i="1"/>
  <c r="CF251" i="1"/>
  <c r="CF252" i="1"/>
  <c r="CF253" i="1"/>
  <c r="CF254" i="1"/>
  <c r="CF255" i="1"/>
  <c r="CF256" i="1"/>
  <c r="CF257" i="1"/>
  <c r="CF258" i="1"/>
  <c r="CF259" i="1"/>
  <c r="CF260" i="1"/>
  <c r="CF261" i="1"/>
  <c r="CF262" i="1"/>
  <c r="CF263" i="1"/>
  <c r="CF264" i="1"/>
  <c r="CF265" i="1"/>
  <c r="CF266" i="1"/>
  <c r="CF267" i="1"/>
  <c r="CF268" i="1"/>
  <c r="CF269" i="1"/>
  <c r="CF270" i="1"/>
  <c r="CF271" i="1"/>
  <c r="BY113" i="1"/>
  <c r="BL132" i="1" a="1"/>
  <c r="BL132" i="1" s="1"/>
  <c r="BY132" i="1" s="1"/>
  <c r="BR2" i="1" a="1"/>
  <c r="BR2" i="1" s="1"/>
  <c r="BR4" i="1" a="1"/>
  <c r="BR4" i="1" s="1"/>
  <c r="BH2" i="1"/>
  <c r="BI2" i="1"/>
  <c r="BG2" i="1"/>
  <c r="BL1" i="1" a="1"/>
  <c r="BL1" i="1" s="1"/>
  <c r="BL2" i="1" s="1"/>
  <c r="BI4" i="1"/>
  <c r="BH4" i="1"/>
  <c r="BG4" i="1"/>
  <c r="BL90" i="1" a="1"/>
  <c r="BL90" i="1" s="1"/>
  <c r="BY90" i="1" s="1"/>
  <c r="BL124" i="1" a="1"/>
  <c r="BL124" i="1" s="1"/>
  <c r="BY124" i="1" s="1"/>
  <c r="BL180" i="1" a="1"/>
  <c r="BL180" i="1" s="1"/>
  <c r="BY180" i="1" s="1"/>
  <c r="BW113" i="1"/>
  <c r="BL3" i="1" a="1"/>
  <c r="BL3" i="1" s="1"/>
  <c r="BN67" i="1" a="1"/>
  <c r="BN67" i="1" s="1"/>
  <c r="BN68" i="1" a="1"/>
  <c r="BN68" i="1" s="1"/>
  <c r="BN69" i="1" a="1"/>
  <c r="BN69" i="1" s="1"/>
  <c r="BN70" i="1" a="1"/>
  <c r="BN70" i="1" s="1"/>
  <c r="BN71" i="1" a="1"/>
  <c r="BN71" i="1" s="1"/>
  <c r="BN72" i="1" a="1"/>
  <c r="BN72" i="1" s="1"/>
  <c r="BN73" i="1" a="1"/>
  <c r="BN73" i="1" s="1"/>
  <c r="BN74" i="1" a="1"/>
  <c r="BN74" i="1" s="1"/>
  <c r="BN75" i="1" a="1"/>
  <c r="BN75" i="1" s="1"/>
  <c r="BN76" i="1" a="1"/>
  <c r="BN76" i="1" s="1"/>
  <c r="BN77" i="1" a="1"/>
  <c r="BN77" i="1" s="1"/>
  <c r="BN78" i="1" a="1"/>
  <c r="BN78" i="1" s="1"/>
  <c r="BN79" i="1" a="1"/>
  <c r="BN79" i="1" s="1"/>
  <c r="BN80" i="1" a="1"/>
  <c r="BN80" i="1" s="1"/>
  <c r="BN81" i="1" a="1"/>
  <c r="BN81" i="1" s="1"/>
  <c r="BN82" i="1" a="1"/>
  <c r="BN82" i="1" s="1"/>
  <c r="BN83" i="1" a="1"/>
  <c r="BN83" i="1" s="1"/>
  <c r="BN84" i="1" a="1"/>
  <c r="BN84" i="1" s="1"/>
  <c r="BN85" i="1" a="1"/>
  <c r="BN85" i="1" s="1"/>
  <c r="BN86" i="1" a="1"/>
  <c r="BN86" i="1" s="1"/>
  <c r="BN87" i="1" a="1"/>
  <c r="BN87" i="1" s="1"/>
  <c r="BN88" i="1" a="1"/>
  <c r="BN88" i="1" s="1"/>
  <c r="BN89" i="1" a="1"/>
  <c r="BN89" i="1" s="1"/>
  <c r="BN90" i="1" a="1"/>
  <c r="BN90" i="1" s="1"/>
  <c r="BN91" i="1" a="1"/>
  <c r="BN91" i="1" s="1"/>
  <c r="BN92" i="1" a="1"/>
  <c r="BN92" i="1" s="1"/>
  <c r="BN93" i="1" a="1"/>
  <c r="BN93" i="1" s="1"/>
  <c r="BN94" i="1" a="1"/>
  <c r="BN94" i="1" s="1"/>
  <c r="BN95" i="1" a="1"/>
  <c r="BN95" i="1" s="1"/>
  <c r="BN96" i="1" a="1"/>
  <c r="BN96" i="1" s="1"/>
  <c r="BN97" i="1" a="1"/>
  <c r="BN97" i="1" s="1"/>
  <c r="BN98" i="1" a="1"/>
  <c r="BN98" i="1" s="1"/>
  <c r="BN99" i="1" a="1"/>
  <c r="BN99" i="1" s="1"/>
  <c r="BN100" i="1" a="1"/>
  <c r="BN100" i="1" s="1"/>
  <c r="BN101" i="1" a="1"/>
  <c r="BN101" i="1" s="1"/>
  <c r="BN102" i="1" a="1"/>
  <c r="BN102" i="1" s="1"/>
  <c r="BN103" i="1" a="1"/>
  <c r="BN103" i="1" s="1"/>
  <c r="BN104" i="1" a="1"/>
  <c r="BN104" i="1" s="1"/>
  <c r="BN105" i="1" a="1"/>
  <c r="BN105" i="1" s="1"/>
  <c r="BN106" i="1" a="1"/>
  <c r="BN106" i="1" s="1"/>
  <c r="BN107" i="1" a="1"/>
  <c r="BN107" i="1" s="1"/>
  <c r="BN108" i="1" a="1"/>
  <c r="BN108" i="1" s="1"/>
  <c r="BN109" i="1" a="1"/>
  <c r="BN109" i="1" s="1"/>
  <c r="BN110" i="1" a="1"/>
  <c r="BN110" i="1" s="1"/>
  <c r="BN111" i="1" a="1"/>
  <c r="BN111" i="1" s="1"/>
  <c r="BN112" i="1" a="1"/>
  <c r="BN112" i="1" s="1"/>
  <c r="BN113" i="1" a="1"/>
  <c r="BN113" i="1" s="1"/>
  <c r="BN114" i="1" a="1"/>
  <c r="BN114" i="1" s="1"/>
  <c r="BN115" i="1" a="1"/>
  <c r="BN115" i="1" s="1"/>
  <c r="BN116" i="1" a="1"/>
  <c r="BN116" i="1" s="1"/>
  <c r="BN117" i="1" a="1"/>
  <c r="BN117" i="1" s="1"/>
  <c r="BN118" i="1" a="1"/>
  <c r="BN118" i="1" s="1"/>
  <c r="BN119" i="1" a="1"/>
  <c r="BN119" i="1" s="1"/>
  <c r="BN120" i="1" a="1"/>
  <c r="BN120" i="1" s="1"/>
  <c r="BN121" i="1" a="1"/>
  <c r="BN121" i="1" s="1"/>
  <c r="BN122" i="1" a="1"/>
  <c r="BN122" i="1" s="1"/>
  <c r="BN123" i="1" a="1"/>
  <c r="BN123" i="1" s="1"/>
  <c r="BN124" i="1" a="1"/>
  <c r="BN124" i="1" s="1"/>
  <c r="BN125" i="1" a="1"/>
  <c r="BN125" i="1" s="1"/>
  <c r="BN126" i="1" a="1"/>
  <c r="BN126" i="1" s="1"/>
  <c r="BN127" i="1" a="1"/>
  <c r="BN127" i="1" s="1"/>
  <c r="BN128" i="1" a="1"/>
  <c r="BN128" i="1" s="1"/>
  <c r="BN129" i="1" a="1"/>
  <c r="BN129" i="1" s="1"/>
  <c r="BN130" i="1" a="1"/>
  <c r="BN130" i="1" s="1"/>
  <c r="BN131" i="1" a="1"/>
  <c r="BN131" i="1" s="1"/>
  <c r="BN132" i="1" a="1"/>
  <c r="BN132" i="1" s="1"/>
  <c r="BN133" i="1" a="1"/>
  <c r="BN133" i="1" s="1"/>
  <c r="BN134" i="1" a="1"/>
  <c r="BN134" i="1" s="1"/>
  <c r="BN135" i="1" a="1"/>
  <c r="BN135" i="1" s="1"/>
  <c r="BN136" i="1" a="1"/>
  <c r="BN136" i="1" s="1"/>
  <c r="BN137" i="1" a="1"/>
  <c r="BN137" i="1" s="1"/>
  <c r="BN138" i="1" a="1"/>
  <c r="BN138" i="1" s="1"/>
  <c r="BN139" i="1" a="1"/>
  <c r="BN139" i="1" s="1"/>
  <c r="BN140" i="1" a="1"/>
  <c r="BN140" i="1" s="1"/>
  <c r="BN141" i="1" a="1"/>
  <c r="BN141" i="1" s="1"/>
  <c r="BN142" i="1" a="1"/>
  <c r="BN142" i="1" s="1"/>
  <c r="BN143" i="1" a="1"/>
  <c r="BN143" i="1" s="1"/>
  <c r="BN144" i="1" a="1"/>
  <c r="BN144" i="1" s="1"/>
  <c r="BN145" i="1" a="1"/>
  <c r="BN145" i="1" s="1"/>
  <c r="BN146" i="1" a="1"/>
  <c r="BN146" i="1" s="1"/>
  <c r="BN147" i="1" a="1"/>
  <c r="BN147" i="1" s="1"/>
  <c r="BN148" i="1" a="1"/>
  <c r="BN148" i="1" s="1"/>
  <c r="BN149" i="1" a="1"/>
  <c r="BN149" i="1" s="1"/>
  <c r="BN150" i="1" a="1"/>
  <c r="BN150" i="1" s="1"/>
  <c r="BN151" i="1" a="1"/>
  <c r="BN151" i="1" s="1"/>
  <c r="BN152" i="1" a="1"/>
  <c r="BN152" i="1" s="1"/>
  <c r="BN153" i="1" a="1"/>
  <c r="BN153" i="1" s="1"/>
  <c r="BN154" i="1" a="1"/>
  <c r="BN154" i="1" s="1"/>
  <c r="BN155" i="1" a="1"/>
  <c r="BN155" i="1" s="1"/>
  <c r="BN156" i="1" a="1"/>
  <c r="BN156" i="1" s="1"/>
  <c r="BN157" i="1" a="1"/>
  <c r="BN157" i="1" s="1"/>
  <c r="BN158" i="1" a="1"/>
  <c r="BN158" i="1" s="1"/>
  <c r="BN159" i="1" a="1"/>
  <c r="BN159" i="1" s="1"/>
  <c r="BN160" i="1" a="1"/>
  <c r="BN160" i="1" s="1"/>
  <c r="BN161" i="1" a="1"/>
  <c r="BN161" i="1" s="1"/>
  <c r="BN162" i="1" a="1"/>
  <c r="BN162" i="1" s="1"/>
  <c r="BN163" i="1" a="1"/>
  <c r="BN163" i="1" s="1"/>
  <c r="BN164" i="1" a="1"/>
  <c r="BN164" i="1" s="1"/>
  <c r="BN165" i="1" a="1"/>
  <c r="BN165" i="1" s="1"/>
  <c r="BN166" i="1" a="1"/>
  <c r="BN166" i="1" s="1"/>
  <c r="BN167" i="1" a="1"/>
  <c r="BN167" i="1" s="1"/>
  <c r="BN168" i="1" a="1"/>
  <c r="BN168" i="1" s="1"/>
  <c r="BN169" i="1" a="1"/>
  <c r="BN169" i="1" s="1"/>
  <c r="BN170" i="1" a="1"/>
  <c r="BN170" i="1" s="1"/>
  <c r="BN171" i="1" a="1"/>
  <c r="BN171" i="1" s="1"/>
  <c r="BN172" i="1" a="1"/>
  <c r="BN172" i="1" s="1"/>
  <c r="BN173" i="1" a="1"/>
  <c r="BN173" i="1" s="1"/>
  <c r="BN174" i="1" a="1"/>
  <c r="BN174" i="1" s="1"/>
  <c r="BN175" i="1" a="1"/>
  <c r="BN175" i="1" s="1"/>
  <c r="BN176" i="1" a="1"/>
  <c r="BN176" i="1" s="1"/>
  <c r="BN177" i="1" a="1"/>
  <c r="BN177" i="1" s="1"/>
  <c r="BN178" i="1" a="1"/>
  <c r="BN178" i="1" s="1"/>
  <c r="BN179" i="1" a="1"/>
  <c r="BN179" i="1" s="1"/>
  <c r="BN180" i="1" a="1"/>
  <c r="BN180" i="1" s="1"/>
  <c r="BN181" i="1" a="1"/>
  <c r="BN181" i="1" s="1"/>
  <c r="BN182" i="1" a="1"/>
  <c r="BN182" i="1" s="1"/>
  <c r="BN183" i="1" a="1"/>
  <c r="BN183" i="1" s="1"/>
  <c r="BN184" i="1" a="1"/>
  <c r="BN184" i="1" s="1"/>
  <c r="BN185" i="1" a="1"/>
  <c r="BN185" i="1" s="1"/>
  <c r="BN186" i="1" a="1"/>
  <c r="BN186" i="1" s="1"/>
  <c r="BN187" i="1" a="1"/>
  <c r="BN187" i="1" s="1"/>
  <c r="BN188" i="1" a="1"/>
  <c r="BN188" i="1" s="1"/>
  <c r="BN189" i="1" a="1"/>
  <c r="BN189" i="1" s="1"/>
  <c r="BN190" i="1" a="1"/>
  <c r="BN190" i="1" s="1"/>
  <c r="BN191" i="1" a="1"/>
  <c r="BN191" i="1" s="1"/>
  <c r="BN192" i="1" a="1"/>
  <c r="BN192" i="1" s="1"/>
  <c r="BN193" i="1" a="1"/>
  <c r="BN193" i="1" s="1"/>
  <c r="BN194" i="1" a="1"/>
  <c r="BN194" i="1" s="1"/>
  <c r="BN195" i="1" a="1"/>
  <c r="BN195" i="1" s="1"/>
  <c r="BN196" i="1" a="1"/>
  <c r="BN196" i="1" s="1"/>
  <c r="BN197" i="1" a="1"/>
  <c r="BN197" i="1" s="1"/>
  <c r="BN198" i="1" a="1"/>
  <c r="BN198" i="1" s="1"/>
  <c r="BN199" i="1" a="1"/>
  <c r="BN199" i="1" s="1"/>
  <c r="BN200" i="1" a="1"/>
  <c r="BN200" i="1" s="1"/>
  <c r="BN201" i="1" a="1"/>
  <c r="BN201" i="1" s="1"/>
  <c r="BN202" i="1" a="1"/>
  <c r="BN202" i="1" s="1"/>
  <c r="BN203" i="1" a="1"/>
  <c r="BN203" i="1" s="1"/>
  <c r="BN204" i="1" a="1"/>
  <c r="BN204" i="1" s="1"/>
  <c r="BN205" i="1" a="1"/>
  <c r="BN205" i="1" s="1"/>
  <c r="BN206" i="1" a="1"/>
  <c r="BN206" i="1" s="1"/>
  <c r="BN207" i="1" a="1"/>
  <c r="BN207" i="1" s="1"/>
  <c r="BN208" i="1" a="1"/>
  <c r="BN208" i="1" s="1"/>
  <c r="BN209" i="1" a="1"/>
  <c r="BN209" i="1" s="1"/>
  <c r="BN210" i="1" a="1"/>
  <c r="BN210" i="1" s="1"/>
  <c r="BN211" i="1" a="1"/>
  <c r="BN211" i="1" s="1"/>
  <c r="BN212" i="1" a="1"/>
  <c r="BN212" i="1" s="1"/>
  <c r="BN213" i="1" a="1"/>
  <c r="BN213" i="1" s="1"/>
  <c r="BN214" i="1" a="1"/>
  <c r="BN214" i="1" s="1"/>
  <c r="BN215" i="1" a="1"/>
  <c r="BN215" i="1" s="1"/>
  <c r="BN216" i="1" a="1"/>
  <c r="BN216" i="1" s="1"/>
  <c r="BN217" i="1" a="1"/>
  <c r="BN217" i="1" s="1"/>
  <c r="BN218" i="1" a="1"/>
  <c r="BN218" i="1" s="1"/>
  <c r="BN219" i="1" a="1"/>
  <c r="BN219" i="1" s="1"/>
  <c r="BN220" i="1" a="1"/>
  <c r="BN220" i="1" s="1"/>
  <c r="BN221" i="1" a="1"/>
  <c r="BN221" i="1" s="1"/>
  <c r="BN222" i="1" a="1"/>
  <c r="BN222" i="1" s="1"/>
  <c r="BN223" i="1" a="1"/>
  <c r="BN223" i="1" s="1"/>
  <c r="BN224" i="1" a="1"/>
  <c r="BN224" i="1" s="1"/>
  <c r="BN225" i="1" a="1"/>
  <c r="BN225" i="1" s="1"/>
  <c r="BN226" i="1" a="1"/>
  <c r="BN226" i="1" s="1"/>
  <c r="BN227" i="1" a="1"/>
  <c r="BN227" i="1" s="1"/>
  <c r="BN228" i="1" a="1"/>
  <c r="BN228" i="1" s="1"/>
  <c r="BN229" i="1" a="1"/>
  <c r="BN229" i="1" s="1"/>
  <c r="BN230" i="1" a="1"/>
  <c r="BN230" i="1" s="1"/>
  <c r="BN231" i="1" a="1"/>
  <c r="BN231" i="1" s="1"/>
  <c r="BN232" i="1" a="1"/>
  <c r="BN232" i="1" s="1"/>
  <c r="BN233" i="1" a="1"/>
  <c r="BN233" i="1" s="1"/>
  <c r="BN234" i="1" a="1"/>
  <c r="BN234" i="1" s="1"/>
  <c r="BN235" i="1" a="1"/>
  <c r="BN235" i="1" s="1"/>
  <c r="BN236" i="1" a="1"/>
  <c r="BN236" i="1" s="1"/>
  <c r="BN237" i="1" a="1"/>
  <c r="BN237" i="1" s="1"/>
  <c r="BN238" i="1" a="1"/>
  <c r="BN238" i="1" s="1"/>
  <c r="BN239" i="1" a="1"/>
  <c r="BN239" i="1" s="1"/>
  <c r="BN240" i="1" a="1"/>
  <c r="BN240" i="1" s="1"/>
  <c r="BN241" i="1" a="1"/>
  <c r="BN241" i="1" s="1"/>
  <c r="BN242" i="1" a="1"/>
  <c r="BN242" i="1" s="1"/>
  <c r="BN243" i="1" a="1"/>
  <c r="BN243" i="1" s="1"/>
  <c r="BN244" i="1" a="1"/>
  <c r="BN244" i="1" s="1"/>
  <c r="BN245" i="1" a="1"/>
  <c r="BN245" i="1" s="1"/>
  <c r="BN246" i="1" a="1"/>
  <c r="BN246" i="1" s="1"/>
  <c r="BN247" i="1" a="1"/>
  <c r="BN247" i="1" s="1"/>
  <c r="BN248" i="1" a="1"/>
  <c r="BN248" i="1" s="1"/>
  <c r="BN249" i="1" a="1"/>
  <c r="BN249" i="1" s="1"/>
  <c r="BN250" i="1" a="1"/>
  <c r="BN250" i="1" s="1"/>
  <c r="BN251" i="1" a="1"/>
  <c r="BN251" i="1" s="1"/>
  <c r="BN252" i="1" a="1"/>
  <c r="BN252" i="1" s="1"/>
  <c r="BN253" i="1" a="1"/>
  <c r="BN253" i="1" s="1"/>
  <c r="BN254" i="1" a="1"/>
  <c r="BN254" i="1" s="1"/>
  <c r="BN255" i="1" a="1"/>
  <c r="BN255" i="1" s="1"/>
  <c r="BN256" i="1" a="1"/>
  <c r="BN256" i="1" s="1"/>
  <c r="BN257" i="1" a="1"/>
  <c r="BN257" i="1" s="1"/>
  <c r="BN258" i="1" a="1"/>
  <c r="BN258" i="1" s="1"/>
  <c r="BN259" i="1" a="1"/>
  <c r="BN259" i="1" s="1"/>
  <c r="BN260" i="1" a="1"/>
  <c r="BN260" i="1" s="1"/>
  <c r="BN261" i="1" a="1"/>
  <c r="BN261" i="1" s="1"/>
  <c r="BN262" i="1" a="1"/>
  <c r="BN262" i="1" s="1"/>
  <c r="BN263" i="1" a="1"/>
  <c r="BN263" i="1" s="1"/>
  <c r="BN264" i="1" a="1"/>
  <c r="BN264" i="1" s="1"/>
  <c r="BN265" i="1" a="1"/>
  <c r="BN265" i="1" s="1"/>
  <c r="BN266" i="1" a="1"/>
  <c r="BN266" i="1" s="1"/>
  <c r="BN267" i="1" a="1"/>
  <c r="BN267" i="1" s="1"/>
  <c r="BN268" i="1" a="1"/>
  <c r="BN268" i="1" s="1"/>
  <c r="BN269" i="1" a="1"/>
  <c r="BN269" i="1" s="1"/>
  <c r="BN270" i="1" a="1"/>
  <c r="BN270" i="1" s="1"/>
  <c r="BN271" i="1" a="1"/>
  <c r="BN271" i="1" s="1"/>
  <c r="BN6" i="1" a="1"/>
  <c r="BN6" i="1" s="1"/>
  <c r="BN7" i="1" a="1"/>
  <c r="BN7" i="1" s="1"/>
  <c r="BN8" i="1" a="1"/>
  <c r="BN8" i="1" s="1"/>
  <c r="BN9" i="1" a="1"/>
  <c r="BN9" i="1" s="1"/>
  <c r="BN10" i="1" a="1"/>
  <c r="BN10" i="1" s="1"/>
  <c r="BN11" i="1" a="1"/>
  <c r="BN11" i="1" s="1"/>
  <c r="BN12" i="1" a="1"/>
  <c r="BN12" i="1" s="1"/>
  <c r="BN13" i="1" a="1"/>
  <c r="BN13" i="1" s="1"/>
  <c r="BN14" i="1" a="1"/>
  <c r="BN14" i="1" s="1"/>
  <c r="BN15" i="1" a="1"/>
  <c r="BN15" i="1" s="1"/>
  <c r="BN16" i="1" a="1"/>
  <c r="BN16" i="1" s="1"/>
  <c r="BN17" i="1" a="1"/>
  <c r="BN17" i="1" s="1"/>
  <c r="BN18" i="1" a="1"/>
  <c r="BN18" i="1" s="1"/>
  <c r="BN19" i="1" a="1"/>
  <c r="BN19" i="1" s="1"/>
  <c r="BN20" i="1" a="1"/>
  <c r="BN20" i="1" s="1"/>
  <c r="BN21" i="1" a="1"/>
  <c r="BN21" i="1" s="1"/>
  <c r="BN22" i="1" a="1"/>
  <c r="BN22" i="1" s="1"/>
  <c r="BN23" i="1" a="1"/>
  <c r="BN23" i="1" s="1"/>
  <c r="BN24" i="1" a="1"/>
  <c r="BN24" i="1" s="1"/>
  <c r="BN25" i="1" a="1"/>
  <c r="BN25" i="1" s="1"/>
  <c r="BN26" i="1" a="1"/>
  <c r="BN26" i="1" s="1"/>
  <c r="BN27" i="1" a="1"/>
  <c r="BN27" i="1" s="1"/>
  <c r="BN28" i="1" a="1"/>
  <c r="BN28" i="1" s="1"/>
  <c r="BN29" i="1" a="1"/>
  <c r="BN29" i="1" s="1"/>
  <c r="BN30" i="1" a="1"/>
  <c r="BN30" i="1" s="1"/>
  <c r="BN31" i="1" a="1"/>
  <c r="BN31" i="1" s="1"/>
  <c r="BN32" i="1" a="1"/>
  <c r="BN32" i="1" s="1"/>
  <c r="BN33" i="1" a="1"/>
  <c r="BN33" i="1" s="1"/>
  <c r="BN34" i="1" a="1"/>
  <c r="BN34" i="1" s="1"/>
  <c r="BN35" i="1" a="1"/>
  <c r="BN35" i="1" s="1"/>
  <c r="BN36" i="1" a="1"/>
  <c r="BN36" i="1" s="1"/>
  <c r="BN37" i="1" a="1"/>
  <c r="BN37" i="1" s="1"/>
  <c r="BN38" i="1" a="1"/>
  <c r="BN38" i="1" s="1"/>
  <c r="BN39" i="1" a="1"/>
  <c r="BN39" i="1" s="1"/>
  <c r="BN40" i="1" a="1"/>
  <c r="BN40" i="1" s="1"/>
  <c r="BN41" i="1" a="1"/>
  <c r="BN41" i="1" s="1"/>
  <c r="BN42" i="1" a="1"/>
  <c r="BN42" i="1" s="1"/>
  <c r="BN43" i="1" a="1"/>
  <c r="BN43" i="1" s="1"/>
  <c r="BN44" i="1" a="1"/>
  <c r="BN44" i="1" s="1"/>
  <c r="BN45" i="1" a="1"/>
  <c r="BN45" i="1" s="1"/>
  <c r="BN46" i="1" a="1"/>
  <c r="BN46" i="1" s="1"/>
  <c r="BN47" i="1" a="1"/>
  <c r="BN47" i="1" s="1"/>
  <c r="BN48" i="1" a="1"/>
  <c r="BN48" i="1" s="1"/>
  <c r="BN49" i="1" a="1"/>
  <c r="BN49" i="1" s="1"/>
  <c r="BN50" i="1" a="1"/>
  <c r="BN50" i="1" s="1"/>
  <c r="BN51" i="1" a="1"/>
  <c r="BN51" i="1" s="1"/>
  <c r="BN52" i="1" a="1"/>
  <c r="BN52" i="1" s="1"/>
  <c r="BN53" i="1" a="1"/>
  <c r="BN53" i="1" s="1"/>
  <c r="BN54" i="1" a="1"/>
  <c r="BN54" i="1" s="1"/>
  <c r="BN55" i="1" a="1"/>
  <c r="BN55" i="1" s="1"/>
  <c r="BN56" i="1" a="1"/>
  <c r="BN56" i="1" s="1"/>
  <c r="BN57" i="1" a="1"/>
  <c r="BN57" i="1" s="1"/>
  <c r="BN58" i="1" a="1"/>
  <c r="BN58" i="1" s="1"/>
  <c r="BN59" i="1" a="1"/>
  <c r="BN59" i="1" s="1"/>
  <c r="BN60" i="1" a="1"/>
  <c r="BN60" i="1" s="1"/>
  <c r="BN61" i="1" a="1"/>
  <c r="BN61" i="1" s="1"/>
  <c r="BN62" i="1" a="1"/>
  <c r="BN62" i="1" s="1"/>
  <c r="BN63" i="1" a="1"/>
  <c r="BN63" i="1" s="1"/>
  <c r="BN64" i="1" a="1"/>
  <c r="BN64" i="1" s="1"/>
  <c r="BN65" i="1" a="1"/>
  <c r="BN65" i="1" s="1"/>
  <c r="BN66" i="1" a="1"/>
  <c r="BN66" i="1" s="1"/>
  <c r="BL186" i="1" a="1"/>
  <c r="BL186" i="1" s="1"/>
  <c r="BY186" i="1" s="1"/>
  <c r="DK180" i="1" a="1"/>
  <c r="DK180" i="1" s="1"/>
  <c r="BL6" i="1" a="1"/>
  <c r="BL6" i="1" s="1"/>
  <c r="BY6" i="1" s="1"/>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56" i="9"/>
  <c r="A57" i="9"/>
  <c r="A58" i="9"/>
  <c r="A59" i="9"/>
  <c r="A60" i="9"/>
  <c r="A61" i="9"/>
  <c r="A62" i="9"/>
  <c r="A63" i="9"/>
  <c r="A64" i="9"/>
  <c r="A65" i="9"/>
  <c r="A66" i="9"/>
  <c r="A67" i="9"/>
  <c r="A68" i="9"/>
  <c r="A69" i="9"/>
  <c r="A70" i="9"/>
  <c r="A71" i="9"/>
  <c r="A72" i="9"/>
  <c r="A73" i="9"/>
  <c r="A74" i="9"/>
  <c r="A75" i="9"/>
  <c r="A76" i="9"/>
  <c r="A77" i="9"/>
  <c r="A78" i="9"/>
  <c r="A79" i="9"/>
  <c r="A80" i="9"/>
  <c r="A81" i="9"/>
  <c r="A82" i="9"/>
  <c r="A83" i="9"/>
  <c r="A84" i="9"/>
  <c r="A85" i="9"/>
  <c r="A86" i="9"/>
  <c r="A87" i="9"/>
  <c r="A88" i="9"/>
  <c r="A89" i="9"/>
  <c r="A90" i="9"/>
  <c r="A91" i="9"/>
  <c r="A92" i="9"/>
  <c r="A93" i="9"/>
  <c r="A94" i="9"/>
  <c r="A95" i="9"/>
  <c r="A96" i="9"/>
  <c r="A97" i="9"/>
  <c r="A98" i="9"/>
  <c r="A99" i="9"/>
  <c r="A100" i="9"/>
  <c r="A101" i="9"/>
  <c r="A102" i="9"/>
  <c r="A103" i="9"/>
  <c r="A104" i="9"/>
  <c r="A105" i="9"/>
  <c r="A106" i="9"/>
  <c r="A107" i="9"/>
  <c r="A108" i="9"/>
  <c r="A109" i="9"/>
  <c r="A110" i="9"/>
  <c r="A111" i="9"/>
  <c r="A112" i="9"/>
  <c r="A113" i="9"/>
  <c r="A114" i="9"/>
  <c r="A115" i="9"/>
  <c r="A116" i="9"/>
  <c r="A117" i="9"/>
  <c r="A118" i="9"/>
  <c r="A119" i="9"/>
  <c r="A120" i="9"/>
  <c r="A121" i="9"/>
  <c r="A122" i="9"/>
  <c r="A123" i="9"/>
  <c r="A124" i="9"/>
  <c r="A125" i="9"/>
  <c r="A126" i="9"/>
  <c r="A127" i="9"/>
  <c r="A128" i="9"/>
  <c r="A129" i="9"/>
  <c r="A130" i="9"/>
  <c r="A131" i="9"/>
  <c r="A132" i="9"/>
  <c r="A133" i="9"/>
  <c r="A134" i="9"/>
  <c r="A135" i="9"/>
  <c r="A136" i="9"/>
  <c r="A137" i="9"/>
  <c r="A138" i="9"/>
  <c r="A139" i="9"/>
  <c r="A140" i="9"/>
  <c r="A141" i="9"/>
  <c r="A142" i="9"/>
  <c r="A143" i="9"/>
  <c r="A144" i="9"/>
  <c r="A145" i="9"/>
  <c r="A146" i="9"/>
  <c r="A147" i="9"/>
  <c r="A148" i="9"/>
  <c r="A149" i="9"/>
  <c r="A150" i="9"/>
  <c r="A151" i="9"/>
  <c r="A152" i="9"/>
  <c r="A153" i="9"/>
  <c r="A154" i="9"/>
  <c r="A155" i="9"/>
  <c r="A156" i="9"/>
  <c r="A157" i="9"/>
  <c r="A158" i="9"/>
  <c r="A159" i="9"/>
  <c r="A160" i="9"/>
  <c r="A161" i="9"/>
  <c r="A162" i="9"/>
  <c r="A163" i="9"/>
  <c r="A164" i="9"/>
  <c r="A165" i="9"/>
  <c r="A166" i="9"/>
  <c r="A167" i="9"/>
  <c r="A168" i="9"/>
  <c r="A169" i="9"/>
  <c r="A170" i="9"/>
  <c r="A171" i="9"/>
  <c r="A172" i="9"/>
  <c r="A173" i="9"/>
  <c r="A174" i="9"/>
  <c r="A175" i="9"/>
  <c r="A176" i="9"/>
  <c r="A177" i="9"/>
  <c r="A178" i="9"/>
  <c r="A179" i="9"/>
  <c r="A180" i="9"/>
  <c r="A181" i="9"/>
  <c r="A182" i="9"/>
  <c r="A183" i="9"/>
  <c r="A184" i="9"/>
  <c r="A185" i="9"/>
  <c r="A186" i="9"/>
  <c r="A187" i="9"/>
  <c r="A188" i="9"/>
  <c r="A189" i="9"/>
  <c r="A190" i="9"/>
  <c r="A191" i="9"/>
  <c r="A192" i="9"/>
  <c r="A193" i="9"/>
  <c r="A194" i="9"/>
  <c r="A195" i="9"/>
  <c r="A196" i="9"/>
  <c r="A197" i="9"/>
  <c r="A198" i="9"/>
  <c r="A199" i="9"/>
  <c r="A200" i="9"/>
  <c r="A201" i="9"/>
  <c r="A202" i="9"/>
  <c r="A203" i="9"/>
  <c r="A204" i="9"/>
  <c r="A205" i="9"/>
  <c r="A206" i="9"/>
  <c r="A207" i="9"/>
  <c r="A208" i="9"/>
  <c r="A209" i="9"/>
  <c r="A210" i="9"/>
  <c r="A211" i="9"/>
  <c r="A212" i="9"/>
  <c r="A213" i="9"/>
  <c r="A214" i="9"/>
  <c r="A215" i="9"/>
  <c r="A216" i="9"/>
  <c r="A217" i="9"/>
  <c r="A218" i="9"/>
  <c r="A219" i="9"/>
  <c r="A220" i="9"/>
  <c r="A221" i="9"/>
  <c r="A222" i="9"/>
  <c r="A223" i="9"/>
  <c r="A224" i="9"/>
  <c r="A225" i="9"/>
  <c r="A226" i="9"/>
  <c r="A227" i="9"/>
  <c r="A228" i="9"/>
  <c r="A229" i="9"/>
  <c r="A230" i="9"/>
  <c r="A231" i="9"/>
  <c r="A232" i="9"/>
  <c r="A233" i="9"/>
  <c r="A234" i="9"/>
  <c r="A235" i="9"/>
  <c r="A236" i="9"/>
  <c r="A237" i="9"/>
  <c r="A238" i="9"/>
  <c r="A239" i="9"/>
  <c r="A240" i="9"/>
  <c r="A241" i="9"/>
  <c r="A242" i="9"/>
  <c r="A243" i="9"/>
  <c r="A244" i="9"/>
  <c r="A245" i="9"/>
  <c r="A246" i="9"/>
  <c r="A247" i="9"/>
  <c r="A248" i="9"/>
  <c r="A249" i="9"/>
  <c r="A250" i="9"/>
  <c r="A251" i="9"/>
  <c r="A252" i="9"/>
  <c r="A253" i="9"/>
  <c r="A254" i="9"/>
  <c r="A255" i="9"/>
  <c r="A256" i="9"/>
  <c r="A257" i="9"/>
  <c r="A258" i="9"/>
  <c r="A259" i="9"/>
  <c r="A260" i="9"/>
  <c r="A261" i="9"/>
  <c r="A262" i="9"/>
  <c r="A263" i="9"/>
  <c r="A264" i="9"/>
  <c r="A265" i="9"/>
  <c r="A266" i="9"/>
  <c r="A267" i="9"/>
  <c r="A2" i="9"/>
  <c r="BL70" i="1" a="1"/>
  <c r="BL70" i="1" s="1"/>
  <c r="BY70" i="1" s="1"/>
  <c r="BL209" i="1" a="1"/>
  <c r="BL209" i="1" s="1"/>
  <c r="BY209" i="1" s="1"/>
  <c r="BL155" i="1" a="1"/>
  <c r="BL155" i="1" s="1"/>
  <c r="BY155" i="1" s="1"/>
  <c r="ER90" i="1"/>
  <c r="EN6" i="1"/>
  <c r="ET6" i="1"/>
  <c r="EN7" i="1"/>
  <c r="EN8" i="1"/>
  <c r="EN9" i="1"/>
  <c r="EN10" i="1"/>
  <c r="EN11" i="1"/>
  <c r="EN12" i="1"/>
  <c r="EN13" i="1"/>
  <c r="EN14" i="1"/>
  <c r="EN15" i="1"/>
  <c r="EN16" i="1"/>
  <c r="EN17" i="1"/>
  <c r="EN18" i="1"/>
  <c r="EN90" i="1"/>
  <c r="EN20" i="1"/>
  <c r="EN21" i="1"/>
  <c r="EN22" i="1"/>
  <c r="EN23" i="1"/>
  <c r="EN24" i="1"/>
  <c r="EN25" i="1"/>
  <c r="EN26" i="1"/>
  <c r="EN27" i="1"/>
  <c r="EN28" i="1"/>
  <c r="EN29" i="1"/>
  <c r="EN30" i="1"/>
  <c r="EN31" i="1"/>
  <c r="EN32" i="1"/>
  <c r="EN33" i="1"/>
  <c r="EN34" i="1"/>
  <c r="EN35" i="1"/>
  <c r="EN36" i="1"/>
  <c r="EN37" i="1"/>
  <c r="EN38" i="1"/>
  <c r="EN39" i="1"/>
  <c r="EN40" i="1"/>
  <c r="EN41" i="1"/>
  <c r="EN42" i="1"/>
  <c r="EN43" i="1"/>
  <c r="EN44" i="1"/>
  <c r="EN45" i="1"/>
  <c r="EN46" i="1"/>
  <c r="EN47" i="1"/>
  <c r="EN48" i="1"/>
  <c r="EN49" i="1"/>
  <c r="EN50" i="1"/>
  <c r="EN51" i="1"/>
  <c r="EN52" i="1"/>
  <c r="EN53" i="1"/>
  <c r="EN54" i="1"/>
  <c r="EN55" i="1"/>
  <c r="EN56" i="1"/>
  <c r="EN57" i="1"/>
  <c r="EN58" i="1"/>
  <c r="EN59" i="1"/>
  <c r="EN60" i="1"/>
  <c r="EN61" i="1"/>
  <c r="EN62" i="1"/>
  <c r="EN63" i="1"/>
  <c r="EN64" i="1"/>
  <c r="EN65" i="1"/>
  <c r="EN66" i="1"/>
  <c r="EN121" i="1"/>
  <c r="EN68" i="1"/>
  <c r="EN69" i="1"/>
  <c r="EN155" i="1"/>
  <c r="EN71" i="1"/>
  <c r="EN72" i="1"/>
  <c r="EN73" i="1"/>
  <c r="EN74" i="1"/>
  <c r="EN75" i="1"/>
  <c r="EN76" i="1"/>
  <c r="EN77" i="1"/>
  <c r="EN78" i="1"/>
  <c r="EN79" i="1"/>
  <c r="EN80" i="1"/>
  <c r="EN81" i="1"/>
  <c r="EN82" i="1"/>
  <c r="EN83" i="1"/>
  <c r="EN84" i="1"/>
  <c r="EN85" i="1"/>
  <c r="EN86" i="1"/>
  <c r="EN87" i="1"/>
  <c r="EN88" i="1"/>
  <c r="EN114" i="1"/>
  <c r="EN186" i="1"/>
  <c r="EN91" i="1"/>
  <c r="EN92" i="1"/>
  <c r="EN93" i="1"/>
  <c r="EN94" i="1"/>
  <c r="EN95" i="1"/>
  <c r="EN96" i="1"/>
  <c r="EN97" i="1"/>
  <c r="EN98" i="1"/>
  <c r="EN99" i="1"/>
  <c r="EN100" i="1"/>
  <c r="EN101" i="1"/>
  <c r="EN102" i="1"/>
  <c r="EN103" i="1"/>
  <c r="EN104" i="1"/>
  <c r="EN105" i="1"/>
  <c r="EN106" i="1"/>
  <c r="EN107" i="1"/>
  <c r="EN108" i="1"/>
  <c r="EN109" i="1"/>
  <c r="EN110" i="1"/>
  <c r="EN111" i="1"/>
  <c r="EN112" i="1"/>
  <c r="EN113" i="1"/>
  <c r="EN153" i="1"/>
  <c r="EN115" i="1"/>
  <c r="EN116" i="1"/>
  <c r="EN117" i="1"/>
  <c r="EN118" i="1"/>
  <c r="EN119" i="1"/>
  <c r="EN67" i="1"/>
  <c r="EN70" i="1"/>
  <c r="EN122" i="1"/>
  <c r="EN123" i="1"/>
  <c r="EN124" i="1"/>
  <c r="EN125" i="1"/>
  <c r="EN126" i="1"/>
  <c r="EN127" i="1"/>
  <c r="EN128" i="1"/>
  <c r="EN129" i="1"/>
  <c r="EN130" i="1"/>
  <c r="EN131" i="1"/>
  <c r="EN132" i="1"/>
  <c r="EN133" i="1"/>
  <c r="EN134" i="1"/>
  <c r="EN135" i="1"/>
  <c r="EN136" i="1"/>
  <c r="EN137" i="1"/>
  <c r="EN138" i="1"/>
  <c r="EN139" i="1"/>
  <c r="EN140" i="1"/>
  <c r="EN141" i="1"/>
  <c r="EN142" i="1"/>
  <c r="EN143" i="1"/>
  <c r="EN144" i="1"/>
  <c r="EN145" i="1"/>
  <c r="EN146" i="1"/>
  <c r="EN147" i="1"/>
  <c r="EN148" i="1"/>
  <c r="EN149" i="1"/>
  <c r="EN150" i="1"/>
  <c r="EN151" i="1"/>
  <c r="EN152" i="1"/>
  <c r="EN120" i="1"/>
  <c r="EN154" i="1"/>
  <c r="EN89" i="1"/>
  <c r="EN156" i="1"/>
  <c r="EN157" i="1"/>
  <c r="EN158" i="1"/>
  <c r="EN159" i="1"/>
  <c r="EN160" i="1"/>
  <c r="EN161" i="1"/>
  <c r="EN162" i="1"/>
  <c r="EN163" i="1"/>
  <c r="EN164" i="1"/>
  <c r="EN165" i="1"/>
  <c r="EN166" i="1"/>
  <c r="EN167" i="1"/>
  <c r="EN168" i="1"/>
  <c r="EN169" i="1"/>
  <c r="EN170" i="1"/>
  <c r="EN171" i="1"/>
  <c r="EN172" i="1"/>
  <c r="EN173" i="1"/>
  <c r="EN174" i="1"/>
  <c r="EN175" i="1"/>
  <c r="EN176" i="1"/>
  <c r="EN177" i="1"/>
  <c r="EN178" i="1"/>
  <c r="EN179" i="1"/>
  <c r="EN180" i="1"/>
  <c r="EN181" i="1"/>
  <c r="EN182" i="1"/>
  <c r="EN183" i="1"/>
  <c r="EN184" i="1"/>
  <c r="EN185" i="1"/>
  <c r="EN19" i="1"/>
  <c r="EN187" i="1"/>
  <c r="EN188" i="1"/>
  <c r="EN189" i="1"/>
  <c r="EN190" i="1"/>
  <c r="EN191" i="1"/>
  <c r="EN192" i="1"/>
  <c r="EN193" i="1"/>
  <c r="EN194" i="1"/>
  <c r="EN195" i="1"/>
  <c r="EN196" i="1"/>
  <c r="EN197" i="1"/>
  <c r="EN198" i="1"/>
  <c r="EN199" i="1"/>
  <c r="EN200" i="1"/>
  <c r="EN201" i="1"/>
  <c r="EN202" i="1"/>
  <c r="EN203" i="1"/>
  <c r="EN204" i="1"/>
  <c r="EN205" i="1"/>
  <c r="EN206" i="1"/>
  <c r="EN207" i="1"/>
  <c r="EN208" i="1"/>
  <c r="EN209" i="1"/>
  <c r="EN210" i="1"/>
  <c r="EN211" i="1"/>
  <c r="EN212" i="1"/>
  <c r="EN213" i="1"/>
  <c r="EN214" i="1"/>
  <c r="EN215" i="1"/>
  <c r="EN216" i="1"/>
  <c r="EN217" i="1"/>
  <c r="EN218" i="1"/>
  <c r="EN219" i="1"/>
  <c r="EN220" i="1"/>
  <c r="EN221" i="1"/>
  <c r="EN222" i="1"/>
  <c r="EN223" i="1"/>
  <c r="EN224" i="1"/>
  <c r="EN225" i="1"/>
  <c r="EN226" i="1"/>
  <c r="EN227" i="1"/>
  <c r="EN228" i="1"/>
  <c r="EN229" i="1"/>
  <c r="EN230" i="1"/>
  <c r="EN231" i="1"/>
  <c r="EN232" i="1"/>
  <c r="EN233" i="1"/>
  <c r="EN234" i="1"/>
  <c r="EN235" i="1"/>
  <c r="EN236" i="1"/>
  <c r="EN237" i="1"/>
  <c r="EN238" i="1"/>
  <c r="EN239" i="1"/>
  <c r="EN240" i="1"/>
  <c r="EN241" i="1"/>
  <c r="EN242" i="1"/>
  <c r="EN243" i="1"/>
  <c r="EN244" i="1"/>
  <c r="EN245" i="1"/>
  <c r="EN246" i="1"/>
  <c r="EN247" i="1"/>
  <c r="EN248" i="1"/>
  <c r="EN249" i="1"/>
  <c r="EN250" i="1"/>
  <c r="EN251" i="1"/>
  <c r="EN252" i="1"/>
  <c r="EN253" i="1"/>
  <c r="EN254" i="1"/>
  <c r="EN255" i="1"/>
  <c r="EN256" i="1"/>
  <c r="EN257" i="1"/>
  <c r="EN258" i="1"/>
  <c r="EN259" i="1"/>
  <c r="EN260" i="1"/>
  <c r="EN261" i="1"/>
  <c r="EN262" i="1"/>
  <c r="EN263" i="1"/>
  <c r="EN264" i="1"/>
  <c r="EN265" i="1"/>
  <c r="EN266" i="1"/>
  <c r="EN267" i="1"/>
  <c r="EN268" i="1"/>
  <c r="EN269" i="1"/>
  <c r="EN270" i="1"/>
  <c r="EN271" i="1"/>
  <c r="EV6" i="1"/>
  <c r="ET7" i="1"/>
  <c r="ET8" i="1"/>
  <c r="ET9" i="1"/>
  <c r="ET10" i="1"/>
  <c r="ET11" i="1"/>
  <c r="ET12" i="1"/>
  <c r="ET13" i="1"/>
  <c r="ET14" i="1"/>
  <c r="ET15" i="1"/>
  <c r="ET16" i="1"/>
  <c r="ET17" i="1"/>
  <c r="ET18" i="1"/>
  <c r="ET90" i="1"/>
  <c r="ET20" i="1"/>
  <c r="ET21" i="1"/>
  <c r="ET22" i="1"/>
  <c r="ET23" i="1"/>
  <c r="ET24" i="1"/>
  <c r="ET25" i="1"/>
  <c r="ET26" i="1"/>
  <c r="ET27" i="1"/>
  <c r="ET28" i="1"/>
  <c r="ET29" i="1"/>
  <c r="ET30" i="1"/>
  <c r="ET31" i="1"/>
  <c r="ET32" i="1"/>
  <c r="ET33" i="1"/>
  <c r="ET34" i="1"/>
  <c r="ET35" i="1"/>
  <c r="ET36" i="1"/>
  <c r="ET37" i="1"/>
  <c r="ET38" i="1"/>
  <c r="ET39" i="1"/>
  <c r="ET40" i="1"/>
  <c r="ET41" i="1"/>
  <c r="ET42" i="1"/>
  <c r="ET43" i="1"/>
  <c r="ET44" i="1"/>
  <c r="ET45" i="1"/>
  <c r="ET46" i="1"/>
  <c r="ET47" i="1"/>
  <c r="ET48" i="1"/>
  <c r="ET49" i="1"/>
  <c r="ET50" i="1"/>
  <c r="ET51" i="1"/>
  <c r="ET52" i="1"/>
  <c r="ET53" i="1"/>
  <c r="ET54" i="1"/>
  <c r="ET55" i="1"/>
  <c r="ET56" i="1"/>
  <c r="ET57" i="1"/>
  <c r="ET58" i="1"/>
  <c r="ET59" i="1"/>
  <c r="ET60" i="1"/>
  <c r="ET61" i="1"/>
  <c r="ET62" i="1"/>
  <c r="ET63" i="1"/>
  <c r="ET64" i="1"/>
  <c r="ET65" i="1"/>
  <c r="ET66" i="1"/>
  <c r="ET121" i="1"/>
  <c r="ET68" i="1"/>
  <c r="ET69" i="1"/>
  <c r="ET155" i="1"/>
  <c r="ET71" i="1"/>
  <c r="ET72" i="1"/>
  <c r="ET73" i="1"/>
  <c r="ET74" i="1"/>
  <c r="ET75" i="1"/>
  <c r="ET76" i="1"/>
  <c r="ET77" i="1"/>
  <c r="ET78" i="1"/>
  <c r="ET79" i="1"/>
  <c r="ET80" i="1"/>
  <c r="ET81" i="1"/>
  <c r="ET82" i="1"/>
  <c r="ET83" i="1"/>
  <c r="ET84" i="1"/>
  <c r="ET85" i="1"/>
  <c r="ET86" i="1"/>
  <c r="ET87" i="1"/>
  <c r="ET88" i="1"/>
  <c r="ET114" i="1"/>
  <c r="ET186" i="1"/>
  <c r="ET91" i="1"/>
  <c r="ET92" i="1"/>
  <c r="ET93" i="1"/>
  <c r="ET94" i="1"/>
  <c r="ET95" i="1"/>
  <c r="ET96" i="1"/>
  <c r="ET97" i="1"/>
  <c r="ET98" i="1"/>
  <c r="ET99" i="1"/>
  <c r="ET100" i="1"/>
  <c r="ET101" i="1"/>
  <c r="ET102" i="1"/>
  <c r="ET103" i="1"/>
  <c r="ET104" i="1"/>
  <c r="ET105" i="1"/>
  <c r="ET106" i="1"/>
  <c r="ET107" i="1"/>
  <c r="ET108" i="1"/>
  <c r="ET109" i="1"/>
  <c r="ET110" i="1"/>
  <c r="ET111" i="1"/>
  <c r="ET112" i="1"/>
  <c r="ET113" i="1"/>
  <c r="ET153" i="1"/>
  <c r="ET115" i="1"/>
  <c r="ET116" i="1"/>
  <c r="ET117" i="1"/>
  <c r="ET118" i="1"/>
  <c r="ET119" i="1"/>
  <c r="ET67" i="1"/>
  <c r="ET70" i="1"/>
  <c r="ET122" i="1"/>
  <c r="ET123" i="1"/>
  <c r="ET124" i="1"/>
  <c r="ET125" i="1"/>
  <c r="ET126" i="1"/>
  <c r="ET127" i="1"/>
  <c r="ET128" i="1"/>
  <c r="ET129" i="1"/>
  <c r="ET130" i="1"/>
  <c r="ET131" i="1"/>
  <c r="ET132" i="1"/>
  <c r="ET133" i="1"/>
  <c r="ET134" i="1"/>
  <c r="ET135" i="1"/>
  <c r="ET136" i="1"/>
  <c r="ET137" i="1"/>
  <c r="ET138" i="1"/>
  <c r="ET139" i="1"/>
  <c r="ET140" i="1"/>
  <c r="ET141" i="1"/>
  <c r="ET142" i="1"/>
  <c r="ET143" i="1"/>
  <c r="ET144" i="1"/>
  <c r="ET145" i="1"/>
  <c r="ET146" i="1"/>
  <c r="ET147" i="1"/>
  <c r="ET148" i="1"/>
  <c r="ET149" i="1"/>
  <c r="ET150" i="1"/>
  <c r="ET151" i="1"/>
  <c r="ET152" i="1"/>
  <c r="ET120" i="1"/>
  <c r="ET154" i="1"/>
  <c r="ET89" i="1"/>
  <c r="ET156" i="1"/>
  <c r="ET157" i="1"/>
  <c r="ET158" i="1"/>
  <c r="ET159" i="1"/>
  <c r="ET160" i="1"/>
  <c r="ET161" i="1"/>
  <c r="ET162" i="1"/>
  <c r="ET163" i="1"/>
  <c r="ET164" i="1"/>
  <c r="ET165" i="1"/>
  <c r="ET166" i="1"/>
  <c r="ET167" i="1"/>
  <c r="ET168" i="1"/>
  <c r="ET169" i="1"/>
  <c r="ET170" i="1"/>
  <c r="ET171" i="1"/>
  <c r="ET172" i="1"/>
  <c r="ET173" i="1"/>
  <c r="ET174" i="1"/>
  <c r="ET175" i="1"/>
  <c r="ET176" i="1"/>
  <c r="ET177" i="1"/>
  <c r="ET178" i="1"/>
  <c r="ET179" i="1"/>
  <c r="ET180" i="1"/>
  <c r="ET181" i="1"/>
  <c r="ET182" i="1"/>
  <c r="ET183" i="1"/>
  <c r="ET184" i="1"/>
  <c r="ET185" i="1"/>
  <c r="ET19" i="1"/>
  <c r="ET187" i="1"/>
  <c r="ET188" i="1"/>
  <c r="ET189" i="1"/>
  <c r="ET190" i="1"/>
  <c r="ET191" i="1"/>
  <c r="ET192" i="1"/>
  <c r="ET193" i="1"/>
  <c r="ET194" i="1"/>
  <c r="ET195" i="1"/>
  <c r="ET196" i="1"/>
  <c r="ET197" i="1"/>
  <c r="ET198" i="1"/>
  <c r="ET199" i="1"/>
  <c r="ET200" i="1"/>
  <c r="ET201" i="1"/>
  <c r="ET202" i="1"/>
  <c r="ET203" i="1"/>
  <c r="ET204" i="1"/>
  <c r="ET205" i="1"/>
  <c r="ET206" i="1"/>
  <c r="ET207" i="1"/>
  <c r="ET208" i="1"/>
  <c r="ET209" i="1"/>
  <c r="ET210" i="1"/>
  <c r="ET211" i="1"/>
  <c r="ET212" i="1"/>
  <c r="ET213" i="1"/>
  <c r="ET214" i="1"/>
  <c r="ET215" i="1"/>
  <c r="ET216" i="1"/>
  <c r="ET217" i="1"/>
  <c r="ET218" i="1"/>
  <c r="ET219" i="1"/>
  <c r="ET220" i="1"/>
  <c r="ET221" i="1"/>
  <c r="ET222" i="1"/>
  <c r="ET223" i="1"/>
  <c r="ET224" i="1"/>
  <c r="ET225" i="1"/>
  <c r="ET226" i="1"/>
  <c r="ET227" i="1"/>
  <c r="ET228" i="1"/>
  <c r="ET229" i="1"/>
  <c r="ET230" i="1"/>
  <c r="ET231" i="1"/>
  <c r="ET232" i="1"/>
  <c r="ET233" i="1"/>
  <c r="ET234" i="1"/>
  <c r="ET235" i="1"/>
  <c r="ET236" i="1"/>
  <c r="ET237" i="1"/>
  <c r="ET238" i="1"/>
  <c r="ET239" i="1"/>
  <c r="ET240" i="1"/>
  <c r="ET241" i="1"/>
  <c r="ET242" i="1"/>
  <c r="ET243" i="1"/>
  <c r="ET244" i="1"/>
  <c r="ET245" i="1"/>
  <c r="ET246" i="1"/>
  <c r="ET247" i="1"/>
  <c r="ET248" i="1"/>
  <c r="ET249" i="1"/>
  <c r="ET250" i="1"/>
  <c r="ET251" i="1"/>
  <c r="ET252" i="1"/>
  <c r="ET253" i="1"/>
  <c r="ET254" i="1"/>
  <c r="ET255" i="1"/>
  <c r="ET256" i="1"/>
  <c r="ET257" i="1"/>
  <c r="ET258" i="1"/>
  <c r="ET259" i="1"/>
  <c r="ET260" i="1"/>
  <c r="ET261" i="1"/>
  <c r="ET262" i="1"/>
  <c r="ET263" i="1"/>
  <c r="ET264" i="1"/>
  <c r="ET265" i="1"/>
  <c r="ET266" i="1"/>
  <c r="ET267" i="1"/>
  <c r="ET268" i="1"/>
  <c r="ET269" i="1"/>
  <c r="ET270" i="1"/>
  <c r="ET271" i="1"/>
  <c r="ES6" i="1"/>
  <c r="ER7" i="1"/>
  <c r="ER8" i="1"/>
  <c r="ER9" i="1"/>
  <c r="ER10" i="1"/>
  <c r="ER11" i="1"/>
  <c r="ER12" i="1"/>
  <c r="ER13" i="1"/>
  <c r="ER14" i="1"/>
  <c r="ER15" i="1"/>
  <c r="ER16" i="1"/>
  <c r="ER17" i="1"/>
  <c r="ER18" i="1"/>
  <c r="ER20" i="1"/>
  <c r="ER21" i="1"/>
  <c r="ER22" i="1"/>
  <c r="ER23" i="1"/>
  <c r="ER24" i="1"/>
  <c r="ER25" i="1"/>
  <c r="ER26" i="1"/>
  <c r="ER27" i="1"/>
  <c r="ER28" i="1"/>
  <c r="ER29" i="1"/>
  <c r="ER30" i="1"/>
  <c r="ER31" i="1"/>
  <c r="ER32" i="1"/>
  <c r="ER33" i="1"/>
  <c r="ER34" i="1"/>
  <c r="ER35" i="1"/>
  <c r="ER36" i="1"/>
  <c r="ER37" i="1"/>
  <c r="ER38" i="1"/>
  <c r="ER39" i="1"/>
  <c r="ER40" i="1"/>
  <c r="ER41" i="1"/>
  <c r="ER42" i="1"/>
  <c r="ER43" i="1"/>
  <c r="ER44" i="1"/>
  <c r="ER45" i="1"/>
  <c r="ER46" i="1"/>
  <c r="ER47" i="1"/>
  <c r="ER48" i="1"/>
  <c r="ER49" i="1"/>
  <c r="ER50" i="1"/>
  <c r="ER51" i="1"/>
  <c r="ER52" i="1"/>
  <c r="ER53" i="1"/>
  <c r="ER54" i="1"/>
  <c r="ER55" i="1"/>
  <c r="ER56" i="1"/>
  <c r="ER57" i="1"/>
  <c r="ER58" i="1"/>
  <c r="ER59" i="1"/>
  <c r="ER60" i="1"/>
  <c r="ER61" i="1"/>
  <c r="ER62" i="1"/>
  <c r="ER63" i="1"/>
  <c r="ER64" i="1"/>
  <c r="ER65" i="1"/>
  <c r="ER66" i="1"/>
  <c r="ER121" i="1"/>
  <c r="ER68" i="1"/>
  <c r="ER69" i="1"/>
  <c r="ER155" i="1"/>
  <c r="ER71" i="1"/>
  <c r="ER72" i="1"/>
  <c r="ER73" i="1"/>
  <c r="ER74" i="1"/>
  <c r="ER75" i="1"/>
  <c r="ER76" i="1"/>
  <c r="ER77" i="1"/>
  <c r="ER78" i="1"/>
  <c r="ER79" i="1"/>
  <c r="ER80" i="1"/>
  <c r="ER81" i="1"/>
  <c r="ER82" i="1"/>
  <c r="ER83" i="1"/>
  <c r="ER84" i="1"/>
  <c r="ER85" i="1"/>
  <c r="ER86" i="1"/>
  <c r="ER87" i="1"/>
  <c r="ER88" i="1"/>
  <c r="ER114" i="1"/>
  <c r="ER186" i="1"/>
  <c r="ER91" i="1"/>
  <c r="ER92" i="1"/>
  <c r="ER93" i="1"/>
  <c r="ER94" i="1"/>
  <c r="ER95" i="1"/>
  <c r="ER96" i="1"/>
  <c r="ER97" i="1"/>
  <c r="ER98" i="1"/>
  <c r="ER99" i="1"/>
  <c r="ER100" i="1"/>
  <c r="ER101" i="1"/>
  <c r="ER102" i="1"/>
  <c r="ER103" i="1"/>
  <c r="ER104" i="1"/>
  <c r="ER105" i="1"/>
  <c r="ER106" i="1"/>
  <c r="ER107" i="1"/>
  <c r="ER108" i="1"/>
  <c r="ER109" i="1"/>
  <c r="ER110" i="1"/>
  <c r="ER111" i="1"/>
  <c r="ER112" i="1"/>
  <c r="ER113" i="1"/>
  <c r="ER153" i="1"/>
  <c r="ER115" i="1"/>
  <c r="ER116" i="1"/>
  <c r="ER117" i="1"/>
  <c r="ER118" i="1"/>
  <c r="ER119" i="1"/>
  <c r="ER67" i="1"/>
  <c r="ER70" i="1"/>
  <c r="ER122" i="1"/>
  <c r="ER123" i="1"/>
  <c r="ER124" i="1"/>
  <c r="ER125" i="1"/>
  <c r="ER126" i="1"/>
  <c r="ER127" i="1"/>
  <c r="ER128" i="1"/>
  <c r="ER129" i="1"/>
  <c r="ER130" i="1"/>
  <c r="ER131" i="1"/>
  <c r="ER132" i="1"/>
  <c r="ER133" i="1"/>
  <c r="ER134" i="1"/>
  <c r="ER135" i="1"/>
  <c r="ER136" i="1"/>
  <c r="ER137" i="1"/>
  <c r="ER138" i="1"/>
  <c r="ER139" i="1"/>
  <c r="ER140" i="1"/>
  <c r="ER141" i="1"/>
  <c r="ER142" i="1"/>
  <c r="ER143" i="1"/>
  <c r="ER144" i="1"/>
  <c r="ER145" i="1"/>
  <c r="ER146" i="1"/>
  <c r="ER147" i="1"/>
  <c r="ER148" i="1"/>
  <c r="ER149" i="1"/>
  <c r="ER150" i="1"/>
  <c r="ER151" i="1"/>
  <c r="ER152" i="1"/>
  <c r="ER120" i="1"/>
  <c r="ER154" i="1"/>
  <c r="ER89" i="1"/>
  <c r="ER156" i="1"/>
  <c r="ER157" i="1"/>
  <c r="ER158" i="1"/>
  <c r="ER159" i="1"/>
  <c r="ER160" i="1"/>
  <c r="ER161" i="1"/>
  <c r="ER162" i="1"/>
  <c r="ER163" i="1"/>
  <c r="ER164" i="1"/>
  <c r="ER165" i="1"/>
  <c r="ER166" i="1"/>
  <c r="ER167" i="1"/>
  <c r="ER168" i="1"/>
  <c r="ER169" i="1"/>
  <c r="ER170" i="1"/>
  <c r="ER171" i="1"/>
  <c r="ER172" i="1"/>
  <c r="ER173" i="1"/>
  <c r="ER174" i="1"/>
  <c r="ER175" i="1"/>
  <c r="ER176" i="1"/>
  <c r="ER177" i="1"/>
  <c r="ER178" i="1"/>
  <c r="ER179" i="1"/>
  <c r="ER180" i="1"/>
  <c r="ER181" i="1"/>
  <c r="ER182" i="1"/>
  <c r="ER183" i="1"/>
  <c r="ER184" i="1"/>
  <c r="ER185" i="1"/>
  <c r="ER19" i="1"/>
  <c r="ER187" i="1"/>
  <c r="ER188" i="1"/>
  <c r="ER189" i="1"/>
  <c r="ER190" i="1"/>
  <c r="ER191" i="1"/>
  <c r="ER192" i="1"/>
  <c r="ER193" i="1"/>
  <c r="ER194" i="1"/>
  <c r="ER195" i="1"/>
  <c r="ER196" i="1"/>
  <c r="ER197" i="1"/>
  <c r="ER198" i="1"/>
  <c r="ER199" i="1"/>
  <c r="ER200" i="1"/>
  <c r="ER201" i="1"/>
  <c r="ER202" i="1"/>
  <c r="ER203" i="1"/>
  <c r="ER204" i="1"/>
  <c r="ER205" i="1"/>
  <c r="ER206" i="1"/>
  <c r="ER207" i="1"/>
  <c r="ER208" i="1"/>
  <c r="ER209" i="1"/>
  <c r="ER210" i="1"/>
  <c r="ER211" i="1"/>
  <c r="ER212" i="1"/>
  <c r="ER213" i="1"/>
  <c r="ER214" i="1"/>
  <c r="ER215" i="1"/>
  <c r="ER216" i="1"/>
  <c r="ER217" i="1"/>
  <c r="ER218" i="1"/>
  <c r="ER219" i="1"/>
  <c r="ER220" i="1"/>
  <c r="ER221" i="1"/>
  <c r="ER222" i="1"/>
  <c r="ER223" i="1"/>
  <c r="ER224" i="1"/>
  <c r="ER225" i="1"/>
  <c r="ER226" i="1"/>
  <c r="ER227" i="1"/>
  <c r="ER228" i="1"/>
  <c r="ER229" i="1"/>
  <c r="ER230" i="1"/>
  <c r="ER231" i="1"/>
  <c r="ER232" i="1"/>
  <c r="ER233" i="1"/>
  <c r="ER234" i="1"/>
  <c r="ER235" i="1"/>
  <c r="ER236" i="1"/>
  <c r="ER237" i="1"/>
  <c r="ER238" i="1"/>
  <c r="ER239" i="1"/>
  <c r="ER240" i="1"/>
  <c r="ER241" i="1"/>
  <c r="ER242" i="1"/>
  <c r="ER243" i="1"/>
  <c r="ER244" i="1"/>
  <c r="ER245" i="1"/>
  <c r="ER246" i="1"/>
  <c r="ER247" i="1"/>
  <c r="ER248" i="1"/>
  <c r="ER249" i="1"/>
  <c r="ER250" i="1"/>
  <c r="ER251" i="1"/>
  <c r="ER252" i="1"/>
  <c r="ER253" i="1"/>
  <c r="ER254" i="1"/>
  <c r="ER255" i="1"/>
  <c r="ER256" i="1"/>
  <c r="ER257" i="1"/>
  <c r="ER258" i="1"/>
  <c r="ER259" i="1"/>
  <c r="ER260" i="1"/>
  <c r="ER261" i="1"/>
  <c r="ER262" i="1"/>
  <c r="ER263" i="1"/>
  <c r="ER264" i="1"/>
  <c r="ER265" i="1"/>
  <c r="ER266" i="1"/>
  <c r="ER267" i="1"/>
  <c r="ER268" i="1"/>
  <c r="ER269" i="1"/>
  <c r="ER270" i="1"/>
  <c r="ER271" i="1"/>
  <c r="ER6" i="1"/>
  <c r="ES7" i="1"/>
  <c r="ES8" i="1"/>
  <c r="ES9" i="1"/>
  <c r="ES10" i="1"/>
  <c r="ES11" i="1"/>
  <c r="ES12" i="1"/>
  <c r="ES13" i="1"/>
  <c r="ES14" i="1"/>
  <c r="ES15" i="1"/>
  <c r="ES16" i="1"/>
  <c r="ES17" i="1"/>
  <c r="ES18" i="1"/>
  <c r="ES90" i="1"/>
  <c r="ES20" i="1"/>
  <c r="ES21" i="1"/>
  <c r="ES22" i="1"/>
  <c r="ES23" i="1"/>
  <c r="ES24" i="1"/>
  <c r="ES25" i="1"/>
  <c r="ES26" i="1"/>
  <c r="ES27" i="1"/>
  <c r="ES28" i="1"/>
  <c r="ES29" i="1"/>
  <c r="ES30" i="1"/>
  <c r="ES31" i="1"/>
  <c r="ES32" i="1"/>
  <c r="ES33" i="1"/>
  <c r="ES34" i="1"/>
  <c r="ES35" i="1"/>
  <c r="ES36" i="1"/>
  <c r="ES37" i="1"/>
  <c r="ES38" i="1"/>
  <c r="ES39" i="1"/>
  <c r="ES40" i="1"/>
  <c r="ES41" i="1"/>
  <c r="ES42" i="1"/>
  <c r="ES43" i="1"/>
  <c r="ES44" i="1"/>
  <c r="ES45" i="1"/>
  <c r="ES46" i="1"/>
  <c r="ES47" i="1"/>
  <c r="ES48" i="1"/>
  <c r="ES49" i="1"/>
  <c r="ES50" i="1"/>
  <c r="ES51" i="1"/>
  <c r="ES52" i="1"/>
  <c r="ES53" i="1"/>
  <c r="ES54" i="1"/>
  <c r="ES55" i="1"/>
  <c r="ES56" i="1"/>
  <c r="ES57" i="1"/>
  <c r="ES58" i="1"/>
  <c r="ES59" i="1"/>
  <c r="ES60" i="1"/>
  <c r="ES61" i="1"/>
  <c r="ES62" i="1"/>
  <c r="ES63" i="1"/>
  <c r="ES64" i="1"/>
  <c r="ES65" i="1"/>
  <c r="ES66" i="1"/>
  <c r="ES121" i="1"/>
  <c r="ES68" i="1"/>
  <c r="ES69" i="1"/>
  <c r="ES155" i="1"/>
  <c r="ES71" i="1"/>
  <c r="ES72" i="1"/>
  <c r="ES73" i="1"/>
  <c r="ES74" i="1"/>
  <c r="ES75" i="1"/>
  <c r="ES76" i="1"/>
  <c r="ES77" i="1"/>
  <c r="ES78" i="1"/>
  <c r="ES79" i="1"/>
  <c r="ES80" i="1"/>
  <c r="ES81" i="1"/>
  <c r="ES82" i="1"/>
  <c r="ES83" i="1"/>
  <c r="ES84" i="1"/>
  <c r="ES85" i="1"/>
  <c r="ES86" i="1"/>
  <c r="ES87" i="1"/>
  <c r="ES88" i="1"/>
  <c r="ES114" i="1"/>
  <c r="ES186" i="1"/>
  <c r="ES91" i="1"/>
  <c r="ES92" i="1"/>
  <c r="ES93" i="1"/>
  <c r="ES94" i="1"/>
  <c r="ES95" i="1"/>
  <c r="ES96" i="1"/>
  <c r="ES97" i="1"/>
  <c r="ES98" i="1"/>
  <c r="ES99" i="1"/>
  <c r="ES100" i="1"/>
  <c r="ES101" i="1"/>
  <c r="ES102" i="1"/>
  <c r="ES103" i="1"/>
  <c r="ES104" i="1"/>
  <c r="ES105" i="1"/>
  <c r="ES106" i="1"/>
  <c r="ES107" i="1"/>
  <c r="ES108" i="1"/>
  <c r="ES109" i="1"/>
  <c r="ES110" i="1"/>
  <c r="ES111" i="1"/>
  <c r="ES112" i="1"/>
  <c r="ES113" i="1"/>
  <c r="ES153" i="1"/>
  <c r="ES115" i="1"/>
  <c r="ES116" i="1"/>
  <c r="ES117" i="1"/>
  <c r="ES118" i="1"/>
  <c r="ES119" i="1"/>
  <c r="ES67" i="1"/>
  <c r="ES70" i="1"/>
  <c r="ES122" i="1"/>
  <c r="ES123" i="1"/>
  <c r="ES124" i="1"/>
  <c r="ES125" i="1"/>
  <c r="ES126" i="1"/>
  <c r="ES127" i="1"/>
  <c r="ES128" i="1"/>
  <c r="ES129" i="1"/>
  <c r="ES130" i="1"/>
  <c r="ES131" i="1"/>
  <c r="ES132" i="1"/>
  <c r="ES133" i="1"/>
  <c r="ES134" i="1"/>
  <c r="ES135" i="1"/>
  <c r="ES136" i="1"/>
  <c r="ES137" i="1"/>
  <c r="ES138" i="1"/>
  <c r="ES139" i="1"/>
  <c r="ES140" i="1"/>
  <c r="ES141" i="1"/>
  <c r="ES142" i="1"/>
  <c r="ES143" i="1"/>
  <c r="ES144" i="1"/>
  <c r="ES145" i="1"/>
  <c r="ES146" i="1"/>
  <c r="ES147" i="1"/>
  <c r="ES148" i="1"/>
  <c r="ES149" i="1"/>
  <c r="ES150" i="1"/>
  <c r="ES151" i="1"/>
  <c r="ES152" i="1"/>
  <c r="ES120" i="1"/>
  <c r="ES154" i="1"/>
  <c r="ES89" i="1"/>
  <c r="ES156" i="1"/>
  <c r="ES157" i="1"/>
  <c r="ES158" i="1"/>
  <c r="ES159" i="1"/>
  <c r="ES160" i="1"/>
  <c r="ES161" i="1"/>
  <c r="ES162" i="1"/>
  <c r="ES163" i="1"/>
  <c r="ES164" i="1"/>
  <c r="ES165" i="1"/>
  <c r="ES166" i="1"/>
  <c r="ES167" i="1"/>
  <c r="ES168" i="1"/>
  <c r="ES169" i="1"/>
  <c r="ES170" i="1"/>
  <c r="ES171" i="1"/>
  <c r="ES172" i="1"/>
  <c r="ES173" i="1"/>
  <c r="ES174" i="1"/>
  <c r="ES175" i="1"/>
  <c r="ES176" i="1"/>
  <c r="ES177" i="1"/>
  <c r="ES178" i="1"/>
  <c r="ES179" i="1"/>
  <c r="ES180" i="1"/>
  <c r="ES181" i="1"/>
  <c r="ES182" i="1"/>
  <c r="ES183" i="1"/>
  <c r="ES184" i="1"/>
  <c r="ES185" i="1"/>
  <c r="ES19" i="1"/>
  <c r="ES187" i="1"/>
  <c r="ES188" i="1"/>
  <c r="ES189" i="1"/>
  <c r="ES190" i="1"/>
  <c r="ES191" i="1"/>
  <c r="ES192" i="1"/>
  <c r="ES193" i="1"/>
  <c r="ES194" i="1"/>
  <c r="ES195" i="1"/>
  <c r="ES196" i="1"/>
  <c r="ES197" i="1"/>
  <c r="ES198" i="1"/>
  <c r="ES199" i="1"/>
  <c r="ES200" i="1"/>
  <c r="ES201" i="1"/>
  <c r="ES202" i="1"/>
  <c r="ES203" i="1"/>
  <c r="ES204" i="1"/>
  <c r="ES205" i="1"/>
  <c r="ES206" i="1"/>
  <c r="ES207" i="1"/>
  <c r="ES208" i="1"/>
  <c r="ES209" i="1"/>
  <c r="ES210" i="1"/>
  <c r="ES211" i="1"/>
  <c r="ES212" i="1"/>
  <c r="ES213" i="1"/>
  <c r="ES214" i="1"/>
  <c r="ES215" i="1"/>
  <c r="ES216" i="1"/>
  <c r="ES217" i="1"/>
  <c r="ES218" i="1"/>
  <c r="ES219" i="1"/>
  <c r="ES220" i="1"/>
  <c r="ES221" i="1"/>
  <c r="ES222" i="1"/>
  <c r="ES223" i="1"/>
  <c r="ES224" i="1"/>
  <c r="ES225" i="1"/>
  <c r="ES226" i="1"/>
  <c r="ES227" i="1"/>
  <c r="ES228" i="1"/>
  <c r="ES229" i="1"/>
  <c r="ES230" i="1"/>
  <c r="ES231" i="1"/>
  <c r="ES232" i="1"/>
  <c r="ES233" i="1"/>
  <c r="ES234" i="1"/>
  <c r="ES235" i="1"/>
  <c r="ES236" i="1"/>
  <c r="ES237" i="1"/>
  <c r="ES238" i="1"/>
  <c r="ES239" i="1"/>
  <c r="ES240" i="1"/>
  <c r="ES241" i="1"/>
  <c r="ES242" i="1"/>
  <c r="ES243" i="1"/>
  <c r="ES244" i="1"/>
  <c r="ES245" i="1"/>
  <c r="ES246" i="1"/>
  <c r="ES247" i="1"/>
  <c r="ES248" i="1"/>
  <c r="ES249" i="1"/>
  <c r="ES250" i="1"/>
  <c r="ES251" i="1"/>
  <c r="ES252" i="1"/>
  <c r="ES253" i="1"/>
  <c r="ES254" i="1"/>
  <c r="ES255" i="1"/>
  <c r="ES256" i="1"/>
  <c r="ES257" i="1"/>
  <c r="ES258" i="1"/>
  <c r="ES259" i="1"/>
  <c r="ES260" i="1"/>
  <c r="ES261" i="1"/>
  <c r="ES262" i="1"/>
  <c r="ES263" i="1"/>
  <c r="ES264" i="1"/>
  <c r="ES265" i="1"/>
  <c r="ES266" i="1"/>
  <c r="ES267" i="1"/>
  <c r="ES268" i="1"/>
  <c r="ES269" i="1"/>
  <c r="ES270" i="1"/>
  <c r="ES271" i="1"/>
  <c r="EL6" i="1"/>
  <c r="EL7" i="1"/>
  <c r="EM7" i="1"/>
  <c r="EL8" i="1"/>
  <c r="EM8" i="1"/>
  <c r="EL9" i="1"/>
  <c r="EM9" i="1"/>
  <c r="EL10" i="1"/>
  <c r="EM10" i="1"/>
  <c r="EL11" i="1"/>
  <c r="EM11" i="1"/>
  <c r="EL12" i="1"/>
  <c r="EM12" i="1"/>
  <c r="EL13" i="1"/>
  <c r="EM13" i="1"/>
  <c r="EL14" i="1"/>
  <c r="EM14" i="1"/>
  <c r="EL15" i="1"/>
  <c r="EM15" i="1"/>
  <c r="EL16" i="1"/>
  <c r="EM16" i="1"/>
  <c r="EL17" i="1"/>
  <c r="EM17" i="1"/>
  <c r="EL18" i="1"/>
  <c r="EM18" i="1"/>
  <c r="EL90" i="1"/>
  <c r="EM90" i="1"/>
  <c r="EL20" i="1"/>
  <c r="EM20" i="1"/>
  <c r="EL21" i="1"/>
  <c r="EM21" i="1"/>
  <c r="EL22" i="1"/>
  <c r="EM22" i="1"/>
  <c r="EL23" i="1"/>
  <c r="EM23" i="1"/>
  <c r="EL24" i="1"/>
  <c r="EM24" i="1"/>
  <c r="EL25" i="1"/>
  <c r="EM25" i="1"/>
  <c r="EL26" i="1"/>
  <c r="EM26" i="1"/>
  <c r="EL27" i="1"/>
  <c r="EM27" i="1"/>
  <c r="EL28" i="1"/>
  <c r="EM28" i="1"/>
  <c r="EL29" i="1"/>
  <c r="EM29" i="1"/>
  <c r="EL30" i="1"/>
  <c r="EM30" i="1"/>
  <c r="EL31" i="1"/>
  <c r="EM31" i="1"/>
  <c r="EL32" i="1"/>
  <c r="EM32" i="1"/>
  <c r="EL33" i="1"/>
  <c r="EM33" i="1"/>
  <c r="EL34" i="1"/>
  <c r="EM34" i="1"/>
  <c r="EL35" i="1"/>
  <c r="EM35" i="1"/>
  <c r="EL36" i="1"/>
  <c r="EM36" i="1"/>
  <c r="EL37" i="1"/>
  <c r="EM37" i="1"/>
  <c r="EL38" i="1"/>
  <c r="EM38" i="1"/>
  <c r="EL39" i="1"/>
  <c r="EM39" i="1"/>
  <c r="EL40" i="1"/>
  <c r="EM40" i="1"/>
  <c r="EL41" i="1"/>
  <c r="EM41" i="1"/>
  <c r="EL42" i="1"/>
  <c r="EM42" i="1"/>
  <c r="EL43" i="1"/>
  <c r="EM43" i="1"/>
  <c r="EL44" i="1"/>
  <c r="EM44" i="1"/>
  <c r="EL45" i="1"/>
  <c r="EM45" i="1"/>
  <c r="EL46" i="1"/>
  <c r="EM46" i="1"/>
  <c r="EL47" i="1"/>
  <c r="EM47" i="1"/>
  <c r="EL48" i="1"/>
  <c r="EM48" i="1"/>
  <c r="EL49" i="1"/>
  <c r="EM49" i="1"/>
  <c r="EL50" i="1"/>
  <c r="EM50" i="1"/>
  <c r="EL51" i="1"/>
  <c r="EM51" i="1"/>
  <c r="EL52" i="1"/>
  <c r="EM52" i="1"/>
  <c r="EL53" i="1"/>
  <c r="EM53" i="1"/>
  <c r="EL54" i="1"/>
  <c r="EM54" i="1"/>
  <c r="EL55" i="1"/>
  <c r="EM55" i="1"/>
  <c r="EL56" i="1"/>
  <c r="EM56" i="1"/>
  <c r="EL57" i="1"/>
  <c r="EM57" i="1"/>
  <c r="EL58" i="1"/>
  <c r="EM58" i="1"/>
  <c r="EL59" i="1"/>
  <c r="EM59" i="1"/>
  <c r="EL60" i="1"/>
  <c r="EM60" i="1"/>
  <c r="EL61" i="1"/>
  <c r="EM61" i="1"/>
  <c r="EL62" i="1"/>
  <c r="EM62" i="1"/>
  <c r="EL63" i="1"/>
  <c r="EM63" i="1"/>
  <c r="EL64" i="1"/>
  <c r="EM64" i="1"/>
  <c r="EL65" i="1"/>
  <c r="EM65" i="1"/>
  <c r="EL66" i="1"/>
  <c r="EM66" i="1"/>
  <c r="EL121" i="1"/>
  <c r="EM121" i="1"/>
  <c r="EL68" i="1"/>
  <c r="EM68" i="1"/>
  <c r="EL69" i="1"/>
  <c r="EM69" i="1"/>
  <c r="EL155" i="1"/>
  <c r="EM155" i="1"/>
  <c r="EL71" i="1"/>
  <c r="EM71" i="1"/>
  <c r="EL72" i="1"/>
  <c r="EM72" i="1"/>
  <c r="EL73" i="1"/>
  <c r="EM73" i="1"/>
  <c r="EL74" i="1"/>
  <c r="EM74" i="1"/>
  <c r="EL75" i="1"/>
  <c r="EM75" i="1"/>
  <c r="EL76" i="1"/>
  <c r="EM76" i="1"/>
  <c r="EL77" i="1"/>
  <c r="EM77" i="1"/>
  <c r="EL78" i="1"/>
  <c r="EM78" i="1"/>
  <c r="EL79" i="1"/>
  <c r="EM79" i="1"/>
  <c r="EL80" i="1"/>
  <c r="EM80" i="1"/>
  <c r="EL81" i="1"/>
  <c r="EM81" i="1"/>
  <c r="EL82" i="1"/>
  <c r="EM82" i="1"/>
  <c r="EL83" i="1"/>
  <c r="EM83" i="1"/>
  <c r="EL84" i="1"/>
  <c r="EM84" i="1"/>
  <c r="EL85" i="1"/>
  <c r="EM85" i="1"/>
  <c r="EL86" i="1"/>
  <c r="EM86" i="1"/>
  <c r="EL87" i="1"/>
  <c r="EM87" i="1"/>
  <c r="EL88" i="1"/>
  <c r="EM88" i="1"/>
  <c r="EL114" i="1"/>
  <c r="EM114" i="1"/>
  <c r="EL186" i="1"/>
  <c r="EM186" i="1"/>
  <c r="EL91" i="1"/>
  <c r="EM91" i="1"/>
  <c r="EL92" i="1"/>
  <c r="EM92" i="1"/>
  <c r="EL93" i="1"/>
  <c r="EM93" i="1"/>
  <c r="EL94" i="1"/>
  <c r="EM94" i="1"/>
  <c r="EL95" i="1"/>
  <c r="EM95" i="1"/>
  <c r="EL96" i="1"/>
  <c r="EM96" i="1"/>
  <c r="EL97" i="1"/>
  <c r="EM97" i="1"/>
  <c r="EL98" i="1"/>
  <c r="EM98" i="1"/>
  <c r="EL99" i="1"/>
  <c r="EM99" i="1"/>
  <c r="EL100" i="1"/>
  <c r="EM100" i="1"/>
  <c r="EL101" i="1"/>
  <c r="EM101" i="1"/>
  <c r="EL102" i="1"/>
  <c r="EM102" i="1"/>
  <c r="EL103" i="1"/>
  <c r="EM103" i="1"/>
  <c r="EL104" i="1"/>
  <c r="EM104" i="1"/>
  <c r="EL105" i="1"/>
  <c r="EM105" i="1"/>
  <c r="EL106" i="1"/>
  <c r="EM106" i="1"/>
  <c r="EL107" i="1"/>
  <c r="EM107" i="1"/>
  <c r="EL108" i="1"/>
  <c r="EM108" i="1"/>
  <c r="EL109" i="1"/>
  <c r="EM109" i="1"/>
  <c r="EL110" i="1"/>
  <c r="EM110" i="1"/>
  <c r="EL111" i="1"/>
  <c r="EM111" i="1"/>
  <c r="EL112" i="1"/>
  <c r="EM112" i="1"/>
  <c r="EL113" i="1"/>
  <c r="EM113" i="1"/>
  <c r="EL153" i="1"/>
  <c r="EM153" i="1"/>
  <c r="EL115" i="1"/>
  <c r="EM115" i="1"/>
  <c r="EL116" i="1"/>
  <c r="EM116" i="1"/>
  <c r="EL117" i="1"/>
  <c r="EM117" i="1"/>
  <c r="EL118" i="1"/>
  <c r="EM118" i="1"/>
  <c r="EL119" i="1"/>
  <c r="EM119" i="1"/>
  <c r="EL67" i="1"/>
  <c r="EM67" i="1"/>
  <c r="EL70" i="1"/>
  <c r="EM70" i="1"/>
  <c r="EL122" i="1"/>
  <c r="EM122" i="1"/>
  <c r="EL123" i="1"/>
  <c r="EM123" i="1"/>
  <c r="EL124" i="1"/>
  <c r="EM124" i="1"/>
  <c r="EL125" i="1"/>
  <c r="EM125" i="1"/>
  <c r="EL126" i="1"/>
  <c r="EM126" i="1"/>
  <c r="EL127" i="1"/>
  <c r="EM127" i="1"/>
  <c r="EL128" i="1"/>
  <c r="EM128" i="1"/>
  <c r="EL129" i="1"/>
  <c r="EM129" i="1"/>
  <c r="EL130" i="1"/>
  <c r="EM130" i="1"/>
  <c r="EL131" i="1"/>
  <c r="EM131" i="1"/>
  <c r="EL132" i="1"/>
  <c r="EM132" i="1"/>
  <c r="EL133" i="1"/>
  <c r="EM133" i="1"/>
  <c r="EL134" i="1"/>
  <c r="EM134" i="1"/>
  <c r="EL135" i="1"/>
  <c r="EM135" i="1"/>
  <c r="EL136" i="1"/>
  <c r="EM136" i="1"/>
  <c r="EL137" i="1"/>
  <c r="EM137" i="1"/>
  <c r="EL138" i="1"/>
  <c r="EM138" i="1"/>
  <c r="EL139" i="1"/>
  <c r="EM139" i="1"/>
  <c r="EL140" i="1"/>
  <c r="EM140" i="1"/>
  <c r="EL141" i="1"/>
  <c r="EM141" i="1"/>
  <c r="EL142" i="1"/>
  <c r="EM142" i="1"/>
  <c r="EL143" i="1"/>
  <c r="EM143" i="1"/>
  <c r="EL144" i="1"/>
  <c r="EM144" i="1"/>
  <c r="EL145" i="1"/>
  <c r="EM145" i="1"/>
  <c r="EL146" i="1"/>
  <c r="EM146" i="1"/>
  <c r="EL147" i="1"/>
  <c r="EM147" i="1"/>
  <c r="EL148" i="1"/>
  <c r="EM148" i="1"/>
  <c r="EL149" i="1"/>
  <c r="EM149" i="1"/>
  <c r="EL150" i="1"/>
  <c r="EM150" i="1"/>
  <c r="EL151" i="1"/>
  <c r="EM151" i="1"/>
  <c r="EL152" i="1"/>
  <c r="EM152" i="1"/>
  <c r="EL120" i="1"/>
  <c r="EM120" i="1"/>
  <c r="EL154" i="1"/>
  <c r="EM154" i="1"/>
  <c r="EL89" i="1"/>
  <c r="EM89" i="1"/>
  <c r="EL156" i="1"/>
  <c r="EM156" i="1"/>
  <c r="EL157" i="1"/>
  <c r="EM157" i="1"/>
  <c r="EL158" i="1"/>
  <c r="EM158" i="1"/>
  <c r="EL159" i="1"/>
  <c r="EM159" i="1"/>
  <c r="EL160" i="1"/>
  <c r="EM160" i="1"/>
  <c r="EL161" i="1"/>
  <c r="EM161" i="1"/>
  <c r="EL162" i="1"/>
  <c r="EM162" i="1"/>
  <c r="EL163" i="1"/>
  <c r="EM163" i="1"/>
  <c r="EL164" i="1"/>
  <c r="EM164" i="1"/>
  <c r="EL165" i="1"/>
  <c r="EM165" i="1"/>
  <c r="EL166" i="1"/>
  <c r="EM166" i="1"/>
  <c r="EL167" i="1"/>
  <c r="EM167" i="1"/>
  <c r="EL168" i="1"/>
  <c r="EM168" i="1"/>
  <c r="EL169" i="1"/>
  <c r="EM169" i="1"/>
  <c r="EL170" i="1"/>
  <c r="EM170" i="1"/>
  <c r="EL171" i="1"/>
  <c r="EM171" i="1"/>
  <c r="EL172" i="1"/>
  <c r="EM172" i="1"/>
  <c r="EL173" i="1"/>
  <c r="EM173" i="1"/>
  <c r="EL174" i="1"/>
  <c r="EM174" i="1"/>
  <c r="EL175" i="1"/>
  <c r="EM175" i="1"/>
  <c r="EL176" i="1"/>
  <c r="EM176" i="1"/>
  <c r="EL177" i="1"/>
  <c r="EM177" i="1"/>
  <c r="EL178" i="1"/>
  <c r="EM178" i="1"/>
  <c r="EL179" i="1"/>
  <c r="EM179" i="1"/>
  <c r="EL180" i="1"/>
  <c r="EM180" i="1"/>
  <c r="EL181" i="1"/>
  <c r="EM181" i="1"/>
  <c r="EL182" i="1"/>
  <c r="EM182" i="1"/>
  <c r="EL183" i="1"/>
  <c r="EM183" i="1"/>
  <c r="EL184" i="1"/>
  <c r="EM184" i="1"/>
  <c r="EL185" i="1"/>
  <c r="EM185" i="1"/>
  <c r="EL19" i="1"/>
  <c r="EM19" i="1"/>
  <c r="EL187" i="1"/>
  <c r="EM187" i="1"/>
  <c r="EL188" i="1"/>
  <c r="EM188" i="1"/>
  <c r="EL189" i="1"/>
  <c r="EM189" i="1"/>
  <c r="EL190" i="1"/>
  <c r="EM190" i="1"/>
  <c r="EL191" i="1"/>
  <c r="EM191" i="1"/>
  <c r="EL192" i="1"/>
  <c r="EM192" i="1"/>
  <c r="EL193" i="1"/>
  <c r="EM193" i="1"/>
  <c r="EL194" i="1"/>
  <c r="EM194" i="1"/>
  <c r="EL195" i="1"/>
  <c r="EM195" i="1"/>
  <c r="EL196" i="1"/>
  <c r="EM196" i="1"/>
  <c r="EL197" i="1"/>
  <c r="EM197" i="1"/>
  <c r="EL198" i="1"/>
  <c r="EM198" i="1"/>
  <c r="EL199" i="1"/>
  <c r="EM199" i="1"/>
  <c r="EL200" i="1"/>
  <c r="EM200" i="1"/>
  <c r="EL201" i="1"/>
  <c r="EM201" i="1"/>
  <c r="EL202" i="1"/>
  <c r="EM202" i="1"/>
  <c r="EL203" i="1"/>
  <c r="EM203" i="1"/>
  <c r="EL204" i="1"/>
  <c r="EM204" i="1"/>
  <c r="EL205" i="1"/>
  <c r="EM205" i="1"/>
  <c r="EL206" i="1"/>
  <c r="EM206" i="1"/>
  <c r="EL207" i="1"/>
  <c r="EM207" i="1"/>
  <c r="EL208" i="1"/>
  <c r="EM208" i="1"/>
  <c r="EL209" i="1"/>
  <c r="EM209" i="1"/>
  <c r="EL210" i="1"/>
  <c r="EM210" i="1"/>
  <c r="EL211" i="1"/>
  <c r="EM211" i="1"/>
  <c r="EL212" i="1"/>
  <c r="EM212" i="1"/>
  <c r="EL213" i="1"/>
  <c r="EM213" i="1"/>
  <c r="EL214" i="1"/>
  <c r="EM214" i="1"/>
  <c r="EL215" i="1"/>
  <c r="EM215" i="1"/>
  <c r="EL216" i="1"/>
  <c r="EM216" i="1"/>
  <c r="EL217" i="1"/>
  <c r="EM217" i="1"/>
  <c r="EL218" i="1"/>
  <c r="EM218" i="1"/>
  <c r="EL219" i="1"/>
  <c r="EM219" i="1"/>
  <c r="EL220" i="1"/>
  <c r="EM220" i="1"/>
  <c r="EL221" i="1"/>
  <c r="EM221" i="1"/>
  <c r="EL222" i="1"/>
  <c r="EM222" i="1"/>
  <c r="EL223" i="1"/>
  <c r="EM223" i="1"/>
  <c r="EL224" i="1"/>
  <c r="EM224" i="1"/>
  <c r="EL225" i="1"/>
  <c r="EM225" i="1"/>
  <c r="EL226" i="1"/>
  <c r="EM226" i="1"/>
  <c r="EL227" i="1"/>
  <c r="EM227" i="1"/>
  <c r="EL228" i="1"/>
  <c r="EM228" i="1"/>
  <c r="EL229" i="1"/>
  <c r="EM229" i="1"/>
  <c r="EL230" i="1"/>
  <c r="EM230" i="1"/>
  <c r="EL231" i="1"/>
  <c r="EM231" i="1"/>
  <c r="EL232" i="1"/>
  <c r="EM232" i="1"/>
  <c r="EL233" i="1"/>
  <c r="EM233" i="1"/>
  <c r="EL234" i="1"/>
  <c r="EM234" i="1"/>
  <c r="EL235" i="1"/>
  <c r="EM235" i="1"/>
  <c r="EL236" i="1"/>
  <c r="EM236" i="1"/>
  <c r="EL237" i="1"/>
  <c r="EM237" i="1"/>
  <c r="EL238" i="1"/>
  <c r="EM238" i="1"/>
  <c r="EL239" i="1"/>
  <c r="EM239" i="1"/>
  <c r="EL240" i="1"/>
  <c r="EM240" i="1"/>
  <c r="EL241" i="1"/>
  <c r="EM241" i="1"/>
  <c r="EL242" i="1"/>
  <c r="EM242" i="1"/>
  <c r="EL243" i="1"/>
  <c r="EM243" i="1"/>
  <c r="EL244" i="1"/>
  <c r="EM244" i="1"/>
  <c r="EL245" i="1"/>
  <c r="EM245" i="1"/>
  <c r="EL246" i="1"/>
  <c r="EM246" i="1"/>
  <c r="EL247" i="1"/>
  <c r="EM247" i="1"/>
  <c r="EL248" i="1"/>
  <c r="EM248" i="1"/>
  <c r="EL249" i="1"/>
  <c r="EM249" i="1"/>
  <c r="EL250" i="1"/>
  <c r="EM250" i="1"/>
  <c r="EL251" i="1"/>
  <c r="EM251" i="1"/>
  <c r="EL252" i="1"/>
  <c r="EM252" i="1"/>
  <c r="EL253" i="1"/>
  <c r="EM253" i="1"/>
  <c r="EL254" i="1"/>
  <c r="EM254" i="1"/>
  <c r="EL255" i="1"/>
  <c r="EM255" i="1"/>
  <c r="EL256" i="1"/>
  <c r="EM256" i="1"/>
  <c r="EL257" i="1"/>
  <c r="EM257" i="1"/>
  <c r="EL258" i="1"/>
  <c r="EM258" i="1"/>
  <c r="EL259" i="1"/>
  <c r="EM259" i="1"/>
  <c r="EL260" i="1"/>
  <c r="EM260" i="1"/>
  <c r="EL261" i="1"/>
  <c r="EM261" i="1"/>
  <c r="EL262" i="1"/>
  <c r="EM262" i="1"/>
  <c r="EL263" i="1"/>
  <c r="EM263" i="1"/>
  <c r="EL264" i="1"/>
  <c r="EM264" i="1"/>
  <c r="EL265" i="1"/>
  <c r="EM265" i="1"/>
  <c r="EL266" i="1"/>
  <c r="EM266" i="1"/>
  <c r="EL267" i="1"/>
  <c r="EM267" i="1"/>
  <c r="EL268" i="1"/>
  <c r="EM268" i="1"/>
  <c r="EL269" i="1"/>
  <c r="EM269" i="1"/>
  <c r="EL270" i="1"/>
  <c r="EM270" i="1"/>
  <c r="EL271" i="1"/>
  <c r="EM271" i="1"/>
  <c r="EM6" i="1"/>
  <c r="EX6" i="1"/>
  <c r="EF6" i="1"/>
  <c r="EO6" i="1" s="1"/>
  <c r="EF7" i="1"/>
  <c r="EO7" i="1" s="1"/>
  <c r="EF8" i="1"/>
  <c r="EO8" i="1" s="1"/>
  <c r="EF9" i="1"/>
  <c r="EO9" i="1" s="1"/>
  <c r="EF10" i="1"/>
  <c r="EO10" i="1" s="1"/>
  <c r="EF11" i="1"/>
  <c r="EO11" i="1" s="1"/>
  <c r="EF12" i="1"/>
  <c r="EO12" i="1" s="1"/>
  <c r="EF13" i="1"/>
  <c r="EO13" i="1" s="1"/>
  <c r="EF14" i="1"/>
  <c r="EO14" i="1" s="1"/>
  <c r="EF15" i="1"/>
  <c r="EO15" i="1" s="1"/>
  <c r="EF16" i="1"/>
  <c r="EO16" i="1" s="1"/>
  <c r="EF17" i="1"/>
  <c r="EO17" i="1" s="1"/>
  <c r="EF18" i="1"/>
  <c r="EO18" i="1" s="1"/>
  <c r="EF90" i="1"/>
  <c r="EO90" i="1" s="1"/>
  <c r="EF20" i="1"/>
  <c r="EO20" i="1" s="1"/>
  <c r="EF21" i="1"/>
  <c r="EO21" i="1" s="1"/>
  <c r="EF22" i="1"/>
  <c r="EO22" i="1" s="1"/>
  <c r="EF23" i="1"/>
  <c r="EO23" i="1" s="1"/>
  <c r="EF24" i="1"/>
  <c r="EO24" i="1" s="1"/>
  <c r="EF25" i="1"/>
  <c r="EO25" i="1" s="1"/>
  <c r="EF26" i="1"/>
  <c r="EO26" i="1" s="1"/>
  <c r="EF27" i="1"/>
  <c r="EO27" i="1" s="1"/>
  <c r="EF28" i="1"/>
  <c r="EO28" i="1" s="1"/>
  <c r="EF29" i="1"/>
  <c r="EO29" i="1" s="1"/>
  <c r="EF30" i="1"/>
  <c r="EO30" i="1" s="1"/>
  <c r="EF31" i="1"/>
  <c r="EO31" i="1" s="1"/>
  <c r="EF32" i="1"/>
  <c r="EO32" i="1" s="1"/>
  <c r="EF33" i="1"/>
  <c r="EO33" i="1" s="1"/>
  <c r="EF34" i="1"/>
  <c r="EO34" i="1" s="1"/>
  <c r="EF35" i="1"/>
  <c r="EO35" i="1" s="1"/>
  <c r="EF36" i="1"/>
  <c r="EO36" i="1" s="1"/>
  <c r="EF37" i="1"/>
  <c r="EO37" i="1" s="1"/>
  <c r="EF38" i="1"/>
  <c r="EO38" i="1" s="1"/>
  <c r="EF39" i="1"/>
  <c r="EO39" i="1" s="1"/>
  <c r="EF40" i="1"/>
  <c r="EO40" i="1" s="1"/>
  <c r="EF41" i="1"/>
  <c r="EO41" i="1" s="1"/>
  <c r="EF42" i="1"/>
  <c r="EO42" i="1" s="1"/>
  <c r="EF43" i="1"/>
  <c r="EO43" i="1" s="1"/>
  <c r="EF44" i="1"/>
  <c r="EO44" i="1" s="1"/>
  <c r="EF45" i="1"/>
  <c r="EO45" i="1" s="1"/>
  <c r="EF46" i="1"/>
  <c r="EO46" i="1" s="1"/>
  <c r="EF47" i="1"/>
  <c r="EO47" i="1" s="1"/>
  <c r="EF48" i="1"/>
  <c r="EO48" i="1" s="1"/>
  <c r="EF49" i="1"/>
  <c r="EO49" i="1" s="1"/>
  <c r="EF50" i="1"/>
  <c r="EO50" i="1" s="1"/>
  <c r="EF51" i="1"/>
  <c r="EO51" i="1" s="1"/>
  <c r="EF52" i="1"/>
  <c r="EO52" i="1" s="1"/>
  <c r="EF53" i="1"/>
  <c r="EO53" i="1" s="1"/>
  <c r="EF54" i="1"/>
  <c r="EO54" i="1" s="1"/>
  <c r="EF55" i="1"/>
  <c r="EO55" i="1" s="1"/>
  <c r="EF56" i="1"/>
  <c r="EO56" i="1" s="1"/>
  <c r="EF57" i="1"/>
  <c r="EO57" i="1" s="1"/>
  <c r="EF58" i="1"/>
  <c r="EO58" i="1" s="1"/>
  <c r="EF59" i="1"/>
  <c r="EO59" i="1" s="1"/>
  <c r="EF60" i="1"/>
  <c r="EO60" i="1" s="1"/>
  <c r="EF61" i="1"/>
  <c r="EO61" i="1" s="1"/>
  <c r="EF62" i="1"/>
  <c r="EO62" i="1" s="1"/>
  <c r="EF63" i="1"/>
  <c r="EO63" i="1" s="1"/>
  <c r="EF64" i="1"/>
  <c r="EO64" i="1" s="1"/>
  <c r="EF65" i="1"/>
  <c r="EO65" i="1" s="1"/>
  <c r="EF66" i="1"/>
  <c r="EO66" i="1" s="1"/>
  <c r="EF121" i="1"/>
  <c r="EO121" i="1" s="1"/>
  <c r="EF68" i="1"/>
  <c r="EO68" i="1" s="1"/>
  <c r="EF69" i="1"/>
  <c r="EO69" i="1" s="1"/>
  <c r="EF155" i="1"/>
  <c r="EO155" i="1" s="1"/>
  <c r="EF71" i="1"/>
  <c r="EO71" i="1" s="1"/>
  <c r="EF72" i="1"/>
  <c r="EO72" i="1" s="1"/>
  <c r="EF73" i="1"/>
  <c r="EO73" i="1" s="1"/>
  <c r="EF74" i="1"/>
  <c r="EO74" i="1" s="1"/>
  <c r="EF75" i="1"/>
  <c r="EO75" i="1" s="1"/>
  <c r="EF76" i="1"/>
  <c r="EO76" i="1" s="1"/>
  <c r="EF77" i="1"/>
  <c r="EO77" i="1" s="1"/>
  <c r="EF78" i="1"/>
  <c r="EO78" i="1" s="1"/>
  <c r="EF79" i="1"/>
  <c r="EO79" i="1" s="1"/>
  <c r="EF80" i="1"/>
  <c r="EO80" i="1" s="1"/>
  <c r="EF81" i="1"/>
  <c r="EO81" i="1" s="1"/>
  <c r="EF82" i="1"/>
  <c r="EO82" i="1" s="1"/>
  <c r="EF83" i="1"/>
  <c r="EO83" i="1" s="1"/>
  <c r="EF84" i="1"/>
  <c r="EO84" i="1" s="1"/>
  <c r="EF85" i="1"/>
  <c r="EO85" i="1" s="1"/>
  <c r="EF86" i="1"/>
  <c r="EO86" i="1" s="1"/>
  <c r="EF87" i="1"/>
  <c r="EO87" i="1" s="1"/>
  <c r="EF88" i="1"/>
  <c r="EO88" i="1" s="1"/>
  <c r="EF114" i="1"/>
  <c r="EO114" i="1" s="1"/>
  <c r="EF186" i="1"/>
  <c r="EO186" i="1" s="1"/>
  <c r="EF91" i="1"/>
  <c r="EO91" i="1" s="1"/>
  <c r="EF92" i="1"/>
  <c r="EO92" i="1" s="1"/>
  <c r="EF93" i="1"/>
  <c r="EO93" i="1" s="1"/>
  <c r="EF94" i="1"/>
  <c r="EO94" i="1" s="1"/>
  <c r="EF95" i="1"/>
  <c r="EO95" i="1" s="1"/>
  <c r="EF96" i="1"/>
  <c r="EO96" i="1" s="1"/>
  <c r="EF97" i="1"/>
  <c r="EO97" i="1" s="1"/>
  <c r="EF98" i="1"/>
  <c r="EO98" i="1" s="1"/>
  <c r="EF99" i="1"/>
  <c r="EO99" i="1" s="1"/>
  <c r="EF100" i="1"/>
  <c r="EO100" i="1" s="1"/>
  <c r="EF101" i="1"/>
  <c r="EO101" i="1" s="1"/>
  <c r="EF102" i="1"/>
  <c r="EO102" i="1" s="1"/>
  <c r="EF103" i="1"/>
  <c r="EO103" i="1" s="1"/>
  <c r="EF104" i="1"/>
  <c r="EO104" i="1" s="1"/>
  <c r="EF105" i="1"/>
  <c r="EO105" i="1" s="1"/>
  <c r="EF106" i="1"/>
  <c r="EO106" i="1" s="1"/>
  <c r="EF107" i="1"/>
  <c r="EO107" i="1" s="1"/>
  <c r="EF108" i="1"/>
  <c r="EO108" i="1" s="1"/>
  <c r="EF109" i="1"/>
  <c r="EO109" i="1" s="1"/>
  <c r="EF110" i="1"/>
  <c r="EO110" i="1" s="1"/>
  <c r="EF111" i="1"/>
  <c r="EO111" i="1" s="1"/>
  <c r="EF112" i="1"/>
  <c r="EO112" i="1" s="1"/>
  <c r="EF113" i="1"/>
  <c r="EO113" i="1" s="1"/>
  <c r="EF153" i="1"/>
  <c r="EO153" i="1" s="1"/>
  <c r="EF115" i="1"/>
  <c r="EO115" i="1" s="1"/>
  <c r="EF116" i="1"/>
  <c r="EO116" i="1" s="1"/>
  <c r="EF117" i="1"/>
  <c r="EO117" i="1" s="1"/>
  <c r="EF118" i="1"/>
  <c r="EO118" i="1" s="1"/>
  <c r="EF119" i="1"/>
  <c r="EO119" i="1" s="1"/>
  <c r="EF67" i="1"/>
  <c r="EO67" i="1" s="1"/>
  <c r="EF70" i="1"/>
  <c r="EO70" i="1" s="1"/>
  <c r="EF122" i="1"/>
  <c r="EO122" i="1" s="1"/>
  <c r="EF123" i="1"/>
  <c r="EO123" i="1" s="1"/>
  <c r="EF124" i="1"/>
  <c r="EO124" i="1" s="1"/>
  <c r="EF125" i="1"/>
  <c r="EO125" i="1" s="1"/>
  <c r="EF126" i="1"/>
  <c r="EO126" i="1" s="1"/>
  <c r="EF127" i="1"/>
  <c r="EO127" i="1" s="1"/>
  <c r="EF128" i="1"/>
  <c r="EO128" i="1" s="1"/>
  <c r="EF129" i="1"/>
  <c r="EO129" i="1" s="1"/>
  <c r="EF130" i="1"/>
  <c r="EO130" i="1" s="1"/>
  <c r="EF131" i="1"/>
  <c r="EO131" i="1" s="1"/>
  <c r="EF132" i="1"/>
  <c r="EO132" i="1" s="1"/>
  <c r="EF133" i="1"/>
  <c r="EO133" i="1" s="1"/>
  <c r="EF134" i="1"/>
  <c r="EO134" i="1" s="1"/>
  <c r="EF135" i="1"/>
  <c r="EO135" i="1" s="1"/>
  <c r="EF136" i="1"/>
  <c r="EO136" i="1" s="1"/>
  <c r="EF137" i="1"/>
  <c r="EO137" i="1" s="1"/>
  <c r="EF138" i="1"/>
  <c r="EO138" i="1" s="1"/>
  <c r="EF139" i="1"/>
  <c r="EO139" i="1" s="1"/>
  <c r="EF140" i="1"/>
  <c r="EO140" i="1" s="1"/>
  <c r="EF141" i="1"/>
  <c r="EO141" i="1" s="1"/>
  <c r="EF142" i="1"/>
  <c r="EO142" i="1" s="1"/>
  <c r="EF143" i="1"/>
  <c r="EO143" i="1" s="1"/>
  <c r="EF144" i="1"/>
  <c r="EO144" i="1" s="1"/>
  <c r="EF145" i="1"/>
  <c r="EO145" i="1" s="1"/>
  <c r="EF146" i="1"/>
  <c r="EO146" i="1" s="1"/>
  <c r="EF147" i="1"/>
  <c r="EO147" i="1" s="1"/>
  <c r="EF148" i="1"/>
  <c r="EO148" i="1" s="1"/>
  <c r="EF149" i="1"/>
  <c r="EO149" i="1" s="1"/>
  <c r="EF150" i="1"/>
  <c r="EO150" i="1" s="1"/>
  <c r="EF151" i="1"/>
  <c r="EO151" i="1" s="1"/>
  <c r="EF152" i="1"/>
  <c r="EO152" i="1" s="1"/>
  <c r="EF120" i="1"/>
  <c r="EO120" i="1" s="1"/>
  <c r="EF154" i="1"/>
  <c r="EO154" i="1" s="1"/>
  <c r="EF89" i="1"/>
  <c r="EO89" i="1" s="1"/>
  <c r="EF156" i="1"/>
  <c r="EO156" i="1" s="1"/>
  <c r="EF157" i="1"/>
  <c r="EO157" i="1" s="1"/>
  <c r="EF158" i="1"/>
  <c r="EO158" i="1" s="1"/>
  <c r="EF159" i="1"/>
  <c r="EO159" i="1" s="1"/>
  <c r="EF160" i="1"/>
  <c r="EO160" i="1" s="1"/>
  <c r="EF161" i="1"/>
  <c r="EO161" i="1" s="1"/>
  <c r="EF162" i="1"/>
  <c r="EO162" i="1" s="1"/>
  <c r="EF163" i="1"/>
  <c r="EO163" i="1" s="1"/>
  <c r="EF164" i="1"/>
  <c r="EO164" i="1" s="1"/>
  <c r="EF165" i="1"/>
  <c r="EO165" i="1" s="1"/>
  <c r="EF166" i="1"/>
  <c r="EO166" i="1" s="1"/>
  <c r="EF167" i="1"/>
  <c r="EO167" i="1" s="1"/>
  <c r="EF168" i="1"/>
  <c r="EO168" i="1" s="1"/>
  <c r="EF169" i="1"/>
  <c r="EO169" i="1" s="1"/>
  <c r="EF170" i="1"/>
  <c r="EO170" i="1" s="1"/>
  <c r="EF171" i="1"/>
  <c r="EO171" i="1" s="1"/>
  <c r="EF172" i="1"/>
  <c r="EO172" i="1" s="1"/>
  <c r="EF173" i="1"/>
  <c r="EO173" i="1" s="1"/>
  <c r="EF174" i="1"/>
  <c r="EO174" i="1" s="1"/>
  <c r="EF175" i="1"/>
  <c r="EO175" i="1" s="1"/>
  <c r="EF176" i="1"/>
  <c r="EO176" i="1" s="1"/>
  <c r="EF177" i="1"/>
  <c r="EO177" i="1" s="1"/>
  <c r="EF178" i="1"/>
  <c r="EO178" i="1" s="1"/>
  <c r="EF179" i="1"/>
  <c r="EO179" i="1" s="1"/>
  <c r="EF180" i="1"/>
  <c r="EO180" i="1" s="1"/>
  <c r="EF181" i="1"/>
  <c r="EO181" i="1" s="1"/>
  <c r="EF182" i="1"/>
  <c r="EO182" i="1" s="1"/>
  <c r="EF183" i="1"/>
  <c r="EO183" i="1" s="1"/>
  <c r="EF184" i="1"/>
  <c r="EO184" i="1" s="1"/>
  <c r="EF185" i="1"/>
  <c r="EO185" i="1" s="1"/>
  <c r="EF19" i="1"/>
  <c r="EO19" i="1" s="1"/>
  <c r="EF187" i="1"/>
  <c r="EO187" i="1" s="1"/>
  <c r="EF188" i="1"/>
  <c r="EO188" i="1" s="1"/>
  <c r="EF189" i="1"/>
  <c r="EO189" i="1" s="1"/>
  <c r="EF190" i="1"/>
  <c r="EO190" i="1" s="1"/>
  <c r="EF191" i="1"/>
  <c r="EO191" i="1" s="1"/>
  <c r="EF192" i="1"/>
  <c r="EO192" i="1" s="1"/>
  <c r="EF193" i="1"/>
  <c r="EO193" i="1" s="1"/>
  <c r="EF194" i="1"/>
  <c r="EO194" i="1" s="1"/>
  <c r="EF195" i="1"/>
  <c r="EO195" i="1" s="1"/>
  <c r="EF196" i="1"/>
  <c r="EO196" i="1" s="1"/>
  <c r="EF197" i="1"/>
  <c r="EO197" i="1" s="1"/>
  <c r="EF198" i="1"/>
  <c r="EO198" i="1" s="1"/>
  <c r="EF199" i="1"/>
  <c r="EO199" i="1" s="1"/>
  <c r="EF200" i="1"/>
  <c r="EO200" i="1" s="1"/>
  <c r="EF201" i="1"/>
  <c r="EO201" i="1" s="1"/>
  <c r="EF202" i="1"/>
  <c r="EO202" i="1" s="1"/>
  <c r="EF203" i="1"/>
  <c r="EO203" i="1" s="1"/>
  <c r="EF204" i="1"/>
  <c r="EO204" i="1" s="1"/>
  <c r="EF205" i="1"/>
  <c r="EO205" i="1" s="1"/>
  <c r="EF206" i="1"/>
  <c r="EO206" i="1" s="1"/>
  <c r="EF207" i="1"/>
  <c r="EO207" i="1" s="1"/>
  <c r="EF208" i="1"/>
  <c r="EO208" i="1" s="1"/>
  <c r="EF209" i="1"/>
  <c r="EO209" i="1" s="1"/>
  <c r="EF210" i="1"/>
  <c r="EO210" i="1" s="1"/>
  <c r="EF211" i="1"/>
  <c r="EO211" i="1" s="1"/>
  <c r="EF212" i="1"/>
  <c r="EO212" i="1" s="1"/>
  <c r="EF213" i="1"/>
  <c r="EO213" i="1" s="1"/>
  <c r="EF214" i="1"/>
  <c r="EO214" i="1" s="1"/>
  <c r="EF215" i="1"/>
  <c r="EO215" i="1" s="1"/>
  <c r="EF216" i="1"/>
  <c r="EO216" i="1" s="1"/>
  <c r="EF217" i="1"/>
  <c r="EO217" i="1" s="1"/>
  <c r="EF218" i="1"/>
  <c r="EO218" i="1" s="1"/>
  <c r="EF219" i="1"/>
  <c r="EO219" i="1" s="1"/>
  <c r="EF220" i="1"/>
  <c r="EO220" i="1" s="1"/>
  <c r="EF221" i="1"/>
  <c r="EO221" i="1" s="1"/>
  <c r="EF222" i="1"/>
  <c r="EO222" i="1" s="1"/>
  <c r="EF223" i="1"/>
  <c r="EO223" i="1" s="1"/>
  <c r="EF224" i="1"/>
  <c r="EO224" i="1" s="1"/>
  <c r="EF225" i="1"/>
  <c r="EO225" i="1" s="1"/>
  <c r="EF226" i="1"/>
  <c r="EO226" i="1" s="1"/>
  <c r="EF227" i="1"/>
  <c r="EO227" i="1" s="1"/>
  <c r="EF228" i="1"/>
  <c r="EO228" i="1" s="1"/>
  <c r="EF229" i="1"/>
  <c r="EO229" i="1" s="1"/>
  <c r="EF230" i="1"/>
  <c r="EO230" i="1" s="1"/>
  <c r="EF231" i="1"/>
  <c r="EO231" i="1" s="1"/>
  <c r="EF232" i="1"/>
  <c r="EO232" i="1" s="1"/>
  <c r="EF233" i="1"/>
  <c r="EO233" i="1" s="1"/>
  <c r="EF234" i="1"/>
  <c r="EO234" i="1" s="1"/>
  <c r="EF235" i="1"/>
  <c r="EO235" i="1" s="1"/>
  <c r="EF236" i="1"/>
  <c r="EO236" i="1" s="1"/>
  <c r="EF237" i="1"/>
  <c r="EO237" i="1" s="1"/>
  <c r="EF238" i="1"/>
  <c r="EO238" i="1" s="1"/>
  <c r="EF239" i="1"/>
  <c r="EO239" i="1" s="1"/>
  <c r="EF240" i="1"/>
  <c r="EO240" i="1" s="1"/>
  <c r="EF241" i="1"/>
  <c r="EO241" i="1" s="1"/>
  <c r="EF242" i="1"/>
  <c r="EO242" i="1" s="1"/>
  <c r="EF243" i="1"/>
  <c r="EO243" i="1" s="1"/>
  <c r="EF244" i="1"/>
  <c r="EO244" i="1" s="1"/>
  <c r="EF245" i="1"/>
  <c r="EO245" i="1" s="1"/>
  <c r="EF246" i="1"/>
  <c r="EO246" i="1" s="1"/>
  <c r="EF247" i="1"/>
  <c r="EO247" i="1" s="1"/>
  <c r="EF248" i="1"/>
  <c r="EO248" i="1" s="1"/>
  <c r="EF249" i="1"/>
  <c r="EO249" i="1" s="1"/>
  <c r="EF250" i="1"/>
  <c r="EO250" i="1" s="1"/>
  <c r="EF251" i="1"/>
  <c r="EO251" i="1" s="1"/>
  <c r="EF252" i="1"/>
  <c r="EO252" i="1" s="1"/>
  <c r="EF253" i="1"/>
  <c r="EO253" i="1" s="1"/>
  <c r="EF254" i="1"/>
  <c r="EO254" i="1" s="1"/>
  <c r="EF255" i="1"/>
  <c r="EO255" i="1" s="1"/>
  <c r="EF256" i="1"/>
  <c r="EO256" i="1" s="1"/>
  <c r="EF257" i="1"/>
  <c r="EO257" i="1" s="1"/>
  <c r="EF258" i="1"/>
  <c r="EO258" i="1" s="1"/>
  <c r="EF259" i="1"/>
  <c r="EO259" i="1" s="1"/>
  <c r="EF260" i="1"/>
  <c r="EO260" i="1" s="1"/>
  <c r="EF261" i="1"/>
  <c r="EO261" i="1" s="1"/>
  <c r="EF262" i="1"/>
  <c r="EO262" i="1" s="1"/>
  <c r="EF263" i="1"/>
  <c r="EO263" i="1" s="1"/>
  <c r="EF264" i="1"/>
  <c r="EO264" i="1" s="1"/>
  <c r="EF265" i="1"/>
  <c r="EO265" i="1" s="1"/>
  <c r="EF266" i="1"/>
  <c r="EO266" i="1" s="1"/>
  <c r="EF267" i="1"/>
  <c r="EO267" i="1" s="1"/>
  <c r="EF268" i="1"/>
  <c r="EO268" i="1" s="1"/>
  <c r="EF269" i="1"/>
  <c r="EO269" i="1" s="1"/>
  <c r="EF270" i="1"/>
  <c r="EO270" i="1" s="1"/>
  <c r="EF271" i="1"/>
  <c r="EO271" i="1" s="1"/>
  <c r="EV7" i="1"/>
  <c r="EV8" i="1"/>
  <c r="EV9" i="1"/>
  <c r="EV10" i="1"/>
  <c r="EV11" i="1"/>
  <c r="EV12" i="1"/>
  <c r="EV13" i="1"/>
  <c r="EV14" i="1"/>
  <c r="EV15" i="1"/>
  <c r="EV16" i="1"/>
  <c r="EV17" i="1"/>
  <c r="EV18" i="1"/>
  <c r="EV90" i="1"/>
  <c r="EV20" i="1"/>
  <c r="EV21" i="1"/>
  <c r="EV22" i="1"/>
  <c r="EV23" i="1"/>
  <c r="EV24" i="1"/>
  <c r="EV25" i="1"/>
  <c r="EV26" i="1"/>
  <c r="EV27" i="1"/>
  <c r="EV28" i="1"/>
  <c r="EV29" i="1"/>
  <c r="EV30" i="1"/>
  <c r="EV31" i="1"/>
  <c r="EV32" i="1"/>
  <c r="EV33" i="1"/>
  <c r="EV34" i="1"/>
  <c r="EV35" i="1"/>
  <c r="EV36" i="1"/>
  <c r="EV37" i="1"/>
  <c r="EV38" i="1"/>
  <c r="EV39" i="1"/>
  <c r="EV40" i="1"/>
  <c r="EV41" i="1"/>
  <c r="EV42" i="1"/>
  <c r="EV43" i="1"/>
  <c r="EV44" i="1"/>
  <c r="EV45" i="1"/>
  <c r="EV46" i="1"/>
  <c r="EV47" i="1"/>
  <c r="EV48" i="1"/>
  <c r="EV49" i="1"/>
  <c r="EV50" i="1"/>
  <c r="EV51" i="1"/>
  <c r="EV52" i="1"/>
  <c r="EV53" i="1"/>
  <c r="EV54" i="1"/>
  <c r="EV55" i="1"/>
  <c r="EV56" i="1"/>
  <c r="EV57" i="1"/>
  <c r="EV58" i="1"/>
  <c r="EV59" i="1"/>
  <c r="EV60" i="1"/>
  <c r="EV61" i="1"/>
  <c r="EV62" i="1"/>
  <c r="EV63" i="1"/>
  <c r="EV64" i="1"/>
  <c r="EV65" i="1"/>
  <c r="EV66" i="1"/>
  <c r="EV121" i="1"/>
  <c r="EV68" i="1"/>
  <c r="EV69" i="1"/>
  <c r="EV155" i="1"/>
  <c r="EV71" i="1"/>
  <c r="EV72" i="1"/>
  <c r="EV73" i="1"/>
  <c r="EV74" i="1"/>
  <c r="EV75" i="1"/>
  <c r="EV76" i="1"/>
  <c r="EV77" i="1"/>
  <c r="EV78" i="1"/>
  <c r="EV79" i="1"/>
  <c r="EV80" i="1"/>
  <c r="EV81" i="1"/>
  <c r="EV82" i="1"/>
  <c r="EV83" i="1"/>
  <c r="EV84" i="1"/>
  <c r="EV85" i="1"/>
  <c r="EV86" i="1"/>
  <c r="EV87" i="1"/>
  <c r="EV88" i="1"/>
  <c r="EV114" i="1"/>
  <c r="EV186" i="1"/>
  <c r="EV91" i="1"/>
  <c r="EV92" i="1"/>
  <c r="EV93" i="1"/>
  <c r="EV94" i="1"/>
  <c r="EV95" i="1"/>
  <c r="EV96" i="1"/>
  <c r="EV97" i="1"/>
  <c r="EV98" i="1"/>
  <c r="EV99" i="1"/>
  <c r="EV100" i="1"/>
  <c r="EV101" i="1"/>
  <c r="EV102" i="1"/>
  <c r="EV103" i="1"/>
  <c r="EV104" i="1"/>
  <c r="EV105" i="1"/>
  <c r="EV106" i="1"/>
  <c r="EV107" i="1"/>
  <c r="EV108" i="1"/>
  <c r="EV109" i="1"/>
  <c r="EV110" i="1"/>
  <c r="EV111" i="1"/>
  <c r="EV112" i="1"/>
  <c r="EV113" i="1"/>
  <c r="EV153" i="1"/>
  <c r="EV115" i="1"/>
  <c r="EV116" i="1"/>
  <c r="EV117" i="1"/>
  <c r="EV118" i="1"/>
  <c r="EV119" i="1"/>
  <c r="EV67" i="1"/>
  <c r="EV70" i="1"/>
  <c r="EV122" i="1"/>
  <c r="EV123" i="1"/>
  <c r="EV124" i="1"/>
  <c r="EV125" i="1"/>
  <c r="EV126" i="1"/>
  <c r="EV127" i="1"/>
  <c r="EV128" i="1"/>
  <c r="EV129" i="1"/>
  <c r="EV130" i="1"/>
  <c r="EV131" i="1"/>
  <c r="EV132" i="1"/>
  <c r="EV133" i="1"/>
  <c r="EV134" i="1"/>
  <c r="EV135" i="1"/>
  <c r="EV136" i="1"/>
  <c r="EV137" i="1"/>
  <c r="EV138" i="1"/>
  <c r="EV139" i="1"/>
  <c r="EV140" i="1"/>
  <c r="EV141" i="1"/>
  <c r="EV142" i="1"/>
  <c r="EV143" i="1"/>
  <c r="EV144" i="1"/>
  <c r="EV145" i="1"/>
  <c r="EV146" i="1"/>
  <c r="EV147" i="1"/>
  <c r="EV148" i="1"/>
  <c r="EV149" i="1"/>
  <c r="EV150" i="1"/>
  <c r="EV151" i="1"/>
  <c r="EV152" i="1"/>
  <c r="EV120" i="1"/>
  <c r="EV154" i="1"/>
  <c r="EV89" i="1"/>
  <c r="EV156" i="1"/>
  <c r="EV157" i="1"/>
  <c r="EV158" i="1"/>
  <c r="EV159" i="1"/>
  <c r="EV160" i="1"/>
  <c r="EV161" i="1"/>
  <c r="EV162" i="1"/>
  <c r="EV163" i="1"/>
  <c r="EV164" i="1"/>
  <c r="EV165" i="1"/>
  <c r="EV166" i="1"/>
  <c r="EV167" i="1"/>
  <c r="EV168" i="1"/>
  <c r="EV169" i="1"/>
  <c r="EV170" i="1"/>
  <c r="EV171" i="1"/>
  <c r="EV172" i="1"/>
  <c r="EV173" i="1"/>
  <c r="EV174" i="1"/>
  <c r="EV175" i="1"/>
  <c r="EV176" i="1"/>
  <c r="EV177" i="1"/>
  <c r="EV178" i="1"/>
  <c r="EV179" i="1"/>
  <c r="EV180" i="1"/>
  <c r="EV181" i="1"/>
  <c r="EV182" i="1"/>
  <c r="EV183" i="1"/>
  <c r="EV184" i="1"/>
  <c r="EV185" i="1"/>
  <c r="EV19" i="1"/>
  <c r="EV187" i="1"/>
  <c r="EV188" i="1"/>
  <c r="EV189" i="1"/>
  <c r="EV190" i="1"/>
  <c r="EV191" i="1"/>
  <c r="EV192" i="1"/>
  <c r="EV193" i="1"/>
  <c r="EV194" i="1"/>
  <c r="EV195" i="1"/>
  <c r="EV196" i="1"/>
  <c r="EV197" i="1"/>
  <c r="EV198" i="1"/>
  <c r="EV199" i="1"/>
  <c r="EV200" i="1"/>
  <c r="EV201" i="1"/>
  <c r="EV202" i="1"/>
  <c r="EV203" i="1"/>
  <c r="EV204" i="1"/>
  <c r="EV205" i="1"/>
  <c r="EV206" i="1"/>
  <c r="EV207" i="1"/>
  <c r="EV208" i="1"/>
  <c r="EV209" i="1"/>
  <c r="EV210" i="1"/>
  <c r="EV211" i="1"/>
  <c r="EV212" i="1"/>
  <c r="EV213" i="1"/>
  <c r="EV214" i="1"/>
  <c r="EV215" i="1"/>
  <c r="EV216" i="1"/>
  <c r="EV217" i="1"/>
  <c r="EV218" i="1"/>
  <c r="EV219" i="1"/>
  <c r="EV220" i="1"/>
  <c r="EV221" i="1"/>
  <c r="EV222" i="1"/>
  <c r="EV223" i="1"/>
  <c r="EV224" i="1"/>
  <c r="EV225" i="1"/>
  <c r="EV226" i="1"/>
  <c r="EV227" i="1"/>
  <c r="EV228" i="1"/>
  <c r="EV229" i="1"/>
  <c r="EV230" i="1"/>
  <c r="EV231" i="1"/>
  <c r="EV232" i="1"/>
  <c r="EV233" i="1"/>
  <c r="EV234" i="1"/>
  <c r="EV235" i="1"/>
  <c r="EV236" i="1"/>
  <c r="EV237" i="1"/>
  <c r="EV238" i="1"/>
  <c r="EV239" i="1"/>
  <c r="EV240" i="1"/>
  <c r="EV241" i="1"/>
  <c r="EV242" i="1"/>
  <c r="EV243" i="1"/>
  <c r="EV244" i="1"/>
  <c r="EV245" i="1"/>
  <c r="EV246" i="1"/>
  <c r="EV247" i="1"/>
  <c r="EV248" i="1"/>
  <c r="EV249" i="1"/>
  <c r="EV250" i="1"/>
  <c r="EV251" i="1"/>
  <c r="EV252" i="1"/>
  <c r="EV253" i="1"/>
  <c r="EV254" i="1"/>
  <c r="EV255" i="1"/>
  <c r="EV256" i="1"/>
  <c r="EV257" i="1"/>
  <c r="EV258" i="1"/>
  <c r="EV259" i="1"/>
  <c r="EV260" i="1"/>
  <c r="EV261" i="1"/>
  <c r="EV262" i="1"/>
  <c r="EV263" i="1"/>
  <c r="EV264" i="1"/>
  <c r="EV265" i="1"/>
  <c r="EV266" i="1"/>
  <c r="EV267" i="1"/>
  <c r="EV268" i="1"/>
  <c r="EV269" i="1"/>
  <c r="EV270" i="1"/>
  <c r="EV271" i="1"/>
  <c r="EP6" i="1"/>
  <c r="EP7" i="1"/>
  <c r="EP8" i="1"/>
  <c r="EP9" i="1"/>
  <c r="EP10" i="1"/>
  <c r="EP11" i="1"/>
  <c r="EP12" i="1"/>
  <c r="EP13" i="1"/>
  <c r="EP14" i="1"/>
  <c r="EP15" i="1"/>
  <c r="EP16" i="1"/>
  <c r="EP17" i="1"/>
  <c r="EP18" i="1"/>
  <c r="EP90" i="1"/>
  <c r="EP20" i="1"/>
  <c r="EP21" i="1"/>
  <c r="EP22" i="1"/>
  <c r="EP23" i="1"/>
  <c r="EP24" i="1"/>
  <c r="EP25" i="1"/>
  <c r="EP26" i="1"/>
  <c r="EP27" i="1"/>
  <c r="EP28" i="1"/>
  <c r="EP29" i="1"/>
  <c r="EP30" i="1"/>
  <c r="EP31" i="1"/>
  <c r="EP32" i="1"/>
  <c r="EP33" i="1"/>
  <c r="EP34" i="1"/>
  <c r="EP35" i="1"/>
  <c r="EP36" i="1"/>
  <c r="EP37" i="1"/>
  <c r="EP38" i="1"/>
  <c r="EP39" i="1"/>
  <c r="EP40" i="1"/>
  <c r="EP41" i="1"/>
  <c r="EP42" i="1"/>
  <c r="EP43" i="1"/>
  <c r="EP44" i="1"/>
  <c r="EP45" i="1"/>
  <c r="EP46" i="1"/>
  <c r="EP47" i="1"/>
  <c r="EP48" i="1"/>
  <c r="EP49" i="1"/>
  <c r="EP50" i="1"/>
  <c r="EP51" i="1"/>
  <c r="EP52" i="1"/>
  <c r="EP53" i="1"/>
  <c r="EP54" i="1"/>
  <c r="EP55" i="1"/>
  <c r="EP56" i="1"/>
  <c r="EP57" i="1"/>
  <c r="EP58" i="1"/>
  <c r="EP59" i="1"/>
  <c r="EP60" i="1"/>
  <c r="EP61" i="1"/>
  <c r="EP62" i="1"/>
  <c r="EP63" i="1"/>
  <c r="EP64" i="1"/>
  <c r="EP65" i="1"/>
  <c r="EP66" i="1"/>
  <c r="EP121" i="1"/>
  <c r="EP68" i="1"/>
  <c r="EP69" i="1"/>
  <c r="EP155" i="1"/>
  <c r="EP71" i="1"/>
  <c r="EP72" i="1"/>
  <c r="EP73" i="1"/>
  <c r="EP74" i="1"/>
  <c r="EP75" i="1"/>
  <c r="EP76" i="1"/>
  <c r="EP77" i="1"/>
  <c r="EP78" i="1"/>
  <c r="EP79" i="1"/>
  <c r="EP80" i="1"/>
  <c r="EP81" i="1"/>
  <c r="EP82" i="1"/>
  <c r="EP83" i="1"/>
  <c r="EP84" i="1"/>
  <c r="EP85" i="1"/>
  <c r="EP86" i="1"/>
  <c r="EP87" i="1"/>
  <c r="EP88" i="1"/>
  <c r="EP114" i="1"/>
  <c r="EP186" i="1"/>
  <c r="EP91" i="1"/>
  <c r="EP92" i="1"/>
  <c r="EP93" i="1"/>
  <c r="EP94" i="1"/>
  <c r="EP95" i="1"/>
  <c r="EP96" i="1"/>
  <c r="EP97" i="1"/>
  <c r="EP98" i="1"/>
  <c r="EP99" i="1"/>
  <c r="EP100" i="1"/>
  <c r="EP101" i="1"/>
  <c r="EP102" i="1"/>
  <c r="EP103" i="1"/>
  <c r="EP104" i="1"/>
  <c r="EP105" i="1"/>
  <c r="EP106" i="1"/>
  <c r="EP107" i="1"/>
  <c r="EP108" i="1"/>
  <c r="EP109" i="1"/>
  <c r="EP110" i="1"/>
  <c r="EP111" i="1"/>
  <c r="EP112" i="1"/>
  <c r="EP113" i="1"/>
  <c r="EP153" i="1"/>
  <c r="EP115" i="1"/>
  <c r="EP116" i="1"/>
  <c r="EP117" i="1"/>
  <c r="EP118" i="1"/>
  <c r="EP119" i="1"/>
  <c r="EP67" i="1"/>
  <c r="EP70" i="1"/>
  <c r="EP122" i="1"/>
  <c r="EP123" i="1"/>
  <c r="EP124" i="1"/>
  <c r="EP125" i="1"/>
  <c r="EP126" i="1"/>
  <c r="EP127" i="1"/>
  <c r="EP128" i="1"/>
  <c r="EP129" i="1"/>
  <c r="EP130" i="1"/>
  <c r="EP131" i="1"/>
  <c r="EP132" i="1"/>
  <c r="EP133" i="1"/>
  <c r="EP134" i="1"/>
  <c r="EP135" i="1"/>
  <c r="EP136" i="1"/>
  <c r="EP137" i="1"/>
  <c r="EP138" i="1"/>
  <c r="EP139" i="1"/>
  <c r="EP140" i="1"/>
  <c r="EP141" i="1"/>
  <c r="EP142" i="1"/>
  <c r="EP143" i="1"/>
  <c r="EP144" i="1"/>
  <c r="EP145" i="1"/>
  <c r="EP146" i="1"/>
  <c r="EP147" i="1"/>
  <c r="EP148" i="1"/>
  <c r="EP149" i="1"/>
  <c r="EP150" i="1"/>
  <c r="EP151" i="1"/>
  <c r="EP152" i="1"/>
  <c r="EP120" i="1"/>
  <c r="EP154" i="1"/>
  <c r="EP89" i="1"/>
  <c r="EP156" i="1"/>
  <c r="EP157" i="1"/>
  <c r="EP158" i="1"/>
  <c r="EP159" i="1"/>
  <c r="EP160" i="1"/>
  <c r="EP161" i="1"/>
  <c r="EP162" i="1"/>
  <c r="EP163" i="1"/>
  <c r="EP164" i="1"/>
  <c r="EP165" i="1"/>
  <c r="EP166" i="1"/>
  <c r="EP167" i="1"/>
  <c r="EP168" i="1"/>
  <c r="EP169" i="1"/>
  <c r="EP170" i="1"/>
  <c r="EP171" i="1"/>
  <c r="EP172" i="1"/>
  <c r="EP173" i="1"/>
  <c r="EP174" i="1"/>
  <c r="EP175" i="1"/>
  <c r="EP176" i="1"/>
  <c r="EP177" i="1"/>
  <c r="EP178" i="1"/>
  <c r="EP179" i="1"/>
  <c r="EP180" i="1"/>
  <c r="EP181" i="1"/>
  <c r="EP182" i="1"/>
  <c r="EP183" i="1"/>
  <c r="EP184" i="1"/>
  <c r="EP185" i="1"/>
  <c r="EP19" i="1"/>
  <c r="EP187" i="1"/>
  <c r="EP188" i="1"/>
  <c r="EP189" i="1"/>
  <c r="EP190" i="1"/>
  <c r="EP191" i="1"/>
  <c r="EP192" i="1"/>
  <c r="EP193" i="1"/>
  <c r="EP194" i="1"/>
  <c r="EP195" i="1"/>
  <c r="EP196" i="1"/>
  <c r="EP197" i="1"/>
  <c r="EP198" i="1"/>
  <c r="EP199" i="1"/>
  <c r="EP200" i="1"/>
  <c r="EP201" i="1"/>
  <c r="EP202" i="1"/>
  <c r="EP203" i="1"/>
  <c r="EP204" i="1"/>
  <c r="EP205" i="1"/>
  <c r="EP206" i="1"/>
  <c r="EP207" i="1"/>
  <c r="EP208" i="1"/>
  <c r="EP209" i="1"/>
  <c r="EP210" i="1"/>
  <c r="EP211" i="1"/>
  <c r="EP212" i="1"/>
  <c r="EP213" i="1"/>
  <c r="EP214" i="1"/>
  <c r="EP215" i="1"/>
  <c r="EP216" i="1"/>
  <c r="EP217" i="1"/>
  <c r="EP218" i="1"/>
  <c r="EP219" i="1"/>
  <c r="EP220" i="1"/>
  <c r="EP221" i="1"/>
  <c r="EP222" i="1"/>
  <c r="EP223" i="1"/>
  <c r="EP224" i="1"/>
  <c r="EP225" i="1"/>
  <c r="EP226" i="1"/>
  <c r="EP227" i="1"/>
  <c r="EP228" i="1"/>
  <c r="EP229" i="1"/>
  <c r="EP230" i="1"/>
  <c r="EP231" i="1"/>
  <c r="EP232" i="1"/>
  <c r="EP233" i="1"/>
  <c r="EP234" i="1"/>
  <c r="EP235" i="1"/>
  <c r="EP236" i="1"/>
  <c r="EP237" i="1"/>
  <c r="EP238" i="1"/>
  <c r="EP239" i="1"/>
  <c r="EP240" i="1"/>
  <c r="EP241" i="1"/>
  <c r="EP242" i="1"/>
  <c r="EP243" i="1"/>
  <c r="EP244" i="1"/>
  <c r="EP245" i="1"/>
  <c r="EP246" i="1"/>
  <c r="EP247" i="1"/>
  <c r="EP248" i="1"/>
  <c r="EP249" i="1"/>
  <c r="EP250" i="1"/>
  <c r="EP251" i="1"/>
  <c r="EP252" i="1"/>
  <c r="EP253" i="1"/>
  <c r="EP254" i="1"/>
  <c r="EP255" i="1"/>
  <c r="EP256" i="1"/>
  <c r="EP257" i="1"/>
  <c r="EP258" i="1"/>
  <c r="EP259" i="1"/>
  <c r="EP260" i="1"/>
  <c r="EP261" i="1"/>
  <c r="EP262" i="1"/>
  <c r="EP263" i="1"/>
  <c r="EP264" i="1"/>
  <c r="EP265" i="1"/>
  <c r="EP266" i="1"/>
  <c r="EP267" i="1"/>
  <c r="EP268" i="1"/>
  <c r="EP269" i="1"/>
  <c r="EP270" i="1"/>
  <c r="EP271" i="1"/>
  <c r="EY6" i="1"/>
  <c r="EY7" i="1"/>
  <c r="EY8" i="1"/>
  <c r="EY9" i="1"/>
  <c r="EY10" i="1"/>
  <c r="EY11" i="1"/>
  <c r="EY12" i="1"/>
  <c r="EY13" i="1"/>
  <c r="EY14" i="1"/>
  <c r="EY15" i="1"/>
  <c r="EY16" i="1"/>
  <c r="EY17" i="1"/>
  <c r="EY18" i="1"/>
  <c r="EY90" i="1"/>
  <c r="EY20" i="1"/>
  <c r="EY21" i="1"/>
  <c r="EY22" i="1"/>
  <c r="EY23" i="1"/>
  <c r="EY24" i="1"/>
  <c r="EY25" i="1"/>
  <c r="EY26" i="1"/>
  <c r="EY27" i="1"/>
  <c r="EY28" i="1"/>
  <c r="EY29" i="1"/>
  <c r="EY30" i="1"/>
  <c r="EY31" i="1"/>
  <c r="EY32" i="1"/>
  <c r="EY33" i="1"/>
  <c r="EY34" i="1"/>
  <c r="EY35" i="1"/>
  <c r="EY36" i="1"/>
  <c r="EY37" i="1"/>
  <c r="EY38" i="1"/>
  <c r="EY39" i="1"/>
  <c r="EY40" i="1"/>
  <c r="EY41" i="1"/>
  <c r="EY42" i="1"/>
  <c r="EY43" i="1"/>
  <c r="EY44" i="1"/>
  <c r="EY45" i="1"/>
  <c r="EY46" i="1"/>
  <c r="EY47" i="1"/>
  <c r="EY48" i="1"/>
  <c r="EY49" i="1"/>
  <c r="EY50" i="1"/>
  <c r="EY51" i="1"/>
  <c r="EY52" i="1"/>
  <c r="EY53" i="1"/>
  <c r="EY54" i="1"/>
  <c r="EY55" i="1"/>
  <c r="EY56" i="1"/>
  <c r="EY57" i="1"/>
  <c r="EY58" i="1"/>
  <c r="EY59" i="1"/>
  <c r="EY60" i="1"/>
  <c r="EY61" i="1"/>
  <c r="EY62" i="1"/>
  <c r="EY63" i="1"/>
  <c r="EY64" i="1"/>
  <c r="EY65" i="1"/>
  <c r="EY66" i="1"/>
  <c r="EY121" i="1"/>
  <c r="EY68" i="1"/>
  <c r="EY69" i="1"/>
  <c r="EY155" i="1"/>
  <c r="EY71" i="1"/>
  <c r="EY72" i="1"/>
  <c r="EY73" i="1"/>
  <c r="EY74" i="1"/>
  <c r="EY75" i="1"/>
  <c r="EY76" i="1"/>
  <c r="EY77" i="1"/>
  <c r="EY78" i="1"/>
  <c r="EY79" i="1"/>
  <c r="EY80" i="1"/>
  <c r="EY81" i="1"/>
  <c r="EY82" i="1"/>
  <c r="EY83" i="1"/>
  <c r="EY84" i="1"/>
  <c r="EY85" i="1"/>
  <c r="EY86" i="1"/>
  <c r="EY87" i="1"/>
  <c r="EY88" i="1"/>
  <c r="EY114" i="1"/>
  <c r="EY186" i="1"/>
  <c r="EY91" i="1"/>
  <c r="EY92" i="1"/>
  <c r="EY93" i="1"/>
  <c r="EY94" i="1"/>
  <c r="EY95" i="1"/>
  <c r="EY96" i="1"/>
  <c r="EY97" i="1"/>
  <c r="EY98" i="1"/>
  <c r="EY99" i="1"/>
  <c r="EY100" i="1"/>
  <c r="EY101" i="1"/>
  <c r="EY102" i="1"/>
  <c r="EY103" i="1"/>
  <c r="EY104" i="1"/>
  <c r="EY105" i="1"/>
  <c r="EY106" i="1"/>
  <c r="EY107" i="1"/>
  <c r="EY108" i="1"/>
  <c r="EY109" i="1"/>
  <c r="EY110" i="1"/>
  <c r="EY111" i="1"/>
  <c r="EY112" i="1"/>
  <c r="EY113" i="1"/>
  <c r="EY153" i="1"/>
  <c r="EY115" i="1"/>
  <c r="EY116" i="1"/>
  <c r="EY117" i="1"/>
  <c r="EY118" i="1"/>
  <c r="EY119" i="1"/>
  <c r="EY67" i="1"/>
  <c r="EY70" i="1"/>
  <c r="EY122" i="1"/>
  <c r="EY123" i="1"/>
  <c r="EY124" i="1"/>
  <c r="EY125" i="1"/>
  <c r="EY126" i="1"/>
  <c r="EY127" i="1"/>
  <c r="EY128" i="1"/>
  <c r="EY129" i="1"/>
  <c r="EY130" i="1"/>
  <c r="EY131" i="1"/>
  <c r="EY132" i="1"/>
  <c r="EY133" i="1"/>
  <c r="EY134" i="1"/>
  <c r="EY135" i="1"/>
  <c r="EY136" i="1"/>
  <c r="EY137" i="1"/>
  <c r="EY138" i="1"/>
  <c r="EY139" i="1"/>
  <c r="EY140" i="1"/>
  <c r="EY141" i="1"/>
  <c r="EY142" i="1"/>
  <c r="EY143" i="1"/>
  <c r="EY144" i="1"/>
  <c r="EY145" i="1"/>
  <c r="EY146" i="1"/>
  <c r="EY147" i="1"/>
  <c r="EY148" i="1"/>
  <c r="EY149" i="1"/>
  <c r="EY150" i="1"/>
  <c r="EY151" i="1"/>
  <c r="EY152" i="1"/>
  <c r="EY120" i="1"/>
  <c r="EY154" i="1"/>
  <c r="EY89" i="1"/>
  <c r="EY156" i="1"/>
  <c r="EY157" i="1"/>
  <c r="EY158" i="1"/>
  <c r="EY159" i="1"/>
  <c r="EY160" i="1"/>
  <c r="EY161" i="1"/>
  <c r="EY162" i="1"/>
  <c r="EY163" i="1"/>
  <c r="EY164" i="1"/>
  <c r="EY165" i="1"/>
  <c r="EY166" i="1"/>
  <c r="EY167" i="1"/>
  <c r="EY168" i="1"/>
  <c r="EY169" i="1"/>
  <c r="EY170" i="1"/>
  <c r="EY171" i="1"/>
  <c r="EY172" i="1"/>
  <c r="EY173" i="1"/>
  <c r="EY174" i="1"/>
  <c r="EY175" i="1"/>
  <c r="EY176" i="1"/>
  <c r="EY177" i="1"/>
  <c r="EY178" i="1"/>
  <c r="EY179" i="1"/>
  <c r="EY180" i="1"/>
  <c r="EY181" i="1"/>
  <c r="EY182" i="1"/>
  <c r="EY183" i="1"/>
  <c r="EY184" i="1"/>
  <c r="EY185" i="1"/>
  <c r="EY19" i="1"/>
  <c r="EY187" i="1"/>
  <c r="EY188" i="1"/>
  <c r="EY189" i="1"/>
  <c r="EY190" i="1"/>
  <c r="EY191" i="1"/>
  <c r="EY192" i="1"/>
  <c r="EY193" i="1"/>
  <c r="EY194" i="1"/>
  <c r="EY195" i="1"/>
  <c r="EY196" i="1"/>
  <c r="EY197" i="1"/>
  <c r="EY198" i="1"/>
  <c r="EY199" i="1"/>
  <c r="EY200" i="1"/>
  <c r="EY201" i="1"/>
  <c r="EY202" i="1"/>
  <c r="EY203" i="1"/>
  <c r="EY204" i="1"/>
  <c r="EY205" i="1"/>
  <c r="EY206" i="1"/>
  <c r="EY207" i="1"/>
  <c r="EY208" i="1"/>
  <c r="EY209" i="1"/>
  <c r="EY210" i="1"/>
  <c r="EY211" i="1"/>
  <c r="EY212" i="1"/>
  <c r="EY213" i="1"/>
  <c r="EY214" i="1"/>
  <c r="EY215" i="1"/>
  <c r="EY216" i="1"/>
  <c r="EY217" i="1"/>
  <c r="EY218" i="1"/>
  <c r="EY219" i="1"/>
  <c r="EY220" i="1"/>
  <c r="EY221" i="1"/>
  <c r="EY222" i="1"/>
  <c r="EY223" i="1"/>
  <c r="EY224" i="1"/>
  <c r="EY225" i="1"/>
  <c r="EY226" i="1"/>
  <c r="EY227" i="1"/>
  <c r="EY228" i="1"/>
  <c r="EY229" i="1"/>
  <c r="EY230" i="1"/>
  <c r="EY231" i="1"/>
  <c r="EY232" i="1"/>
  <c r="EY233" i="1"/>
  <c r="EY234" i="1"/>
  <c r="EY235" i="1"/>
  <c r="EY236" i="1"/>
  <c r="EY237" i="1"/>
  <c r="EY238" i="1"/>
  <c r="EY239" i="1"/>
  <c r="EY240" i="1"/>
  <c r="EY241" i="1"/>
  <c r="EY242" i="1"/>
  <c r="EY243" i="1"/>
  <c r="EY244" i="1"/>
  <c r="EY245" i="1"/>
  <c r="EY246" i="1"/>
  <c r="EY247" i="1"/>
  <c r="EY248" i="1"/>
  <c r="EY249" i="1"/>
  <c r="EY250" i="1"/>
  <c r="EY251" i="1"/>
  <c r="EY252" i="1"/>
  <c r="EY253" i="1"/>
  <c r="EY254" i="1"/>
  <c r="EY255" i="1"/>
  <c r="EY256" i="1"/>
  <c r="EY257" i="1"/>
  <c r="EY258" i="1"/>
  <c r="EY259" i="1"/>
  <c r="EY260" i="1"/>
  <c r="EY261" i="1"/>
  <c r="EY262" i="1"/>
  <c r="EY263" i="1"/>
  <c r="EY264" i="1"/>
  <c r="EY265" i="1"/>
  <c r="EY266" i="1"/>
  <c r="EY267" i="1"/>
  <c r="EY268" i="1"/>
  <c r="EY269" i="1"/>
  <c r="EY270" i="1"/>
  <c r="EY271" i="1"/>
  <c r="EX7" i="1"/>
  <c r="EX8" i="1"/>
  <c r="EX9" i="1"/>
  <c r="EX10" i="1"/>
  <c r="EX11" i="1"/>
  <c r="EX12" i="1"/>
  <c r="EX13" i="1"/>
  <c r="EX14" i="1"/>
  <c r="EX15" i="1"/>
  <c r="EX16" i="1"/>
  <c r="EX17" i="1"/>
  <c r="EX18" i="1"/>
  <c r="EX90" i="1"/>
  <c r="EX20" i="1"/>
  <c r="EX21" i="1"/>
  <c r="EX22" i="1"/>
  <c r="EX23" i="1"/>
  <c r="EX24" i="1"/>
  <c r="EX25" i="1"/>
  <c r="EX26" i="1"/>
  <c r="EX27" i="1"/>
  <c r="EX28" i="1"/>
  <c r="EX29" i="1"/>
  <c r="EX30" i="1"/>
  <c r="EX31" i="1"/>
  <c r="EX32" i="1"/>
  <c r="EX33" i="1"/>
  <c r="EX34" i="1"/>
  <c r="EX35" i="1"/>
  <c r="EX36" i="1"/>
  <c r="EX37" i="1"/>
  <c r="EX38" i="1"/>
  <c r="EX39" i="1"/>
  <c r="EX40" i="1"/>
  <c r="EX41" i="1"/>
  <c r="EX42" i="1"/>
  <c r="EX43" i="1"/>
  <c r="EX44" i="1"/>
  <c r="EX45" i="1"/>
  <c r="EX46" i="1"/>
  <c r="EX47" i="1"/>
  <c r="EX48" i="1"/>
  <c r="EX49" i="1"/>
  <c r="EX50" i="1"/>
  <c r="EX51" i="1"/>
  <c r="EX52" i="1"/>
  <c r="EX53" i="1"/>
  <c r="EX54" i="1"/>
  <c r="EX55" i="1"/>
  <c r="EX56" i="1"/>
  <c r="EX57" i="1"/>
  <c r="EX58" i="1"/>
  <c r="EX59" i="1"/>
  <c r="EX60" i="1"/>
  <c r="EX61" i="1"/>
  <c r="EX62" i="1"/>
  <c r="EX63" i="1"/>
  <c r="EX64" i="1"/>
  <c r="EX65" i="1"/>
  <c r="EX66" i="1"/>
  <c r="EX121" i="1"/>
  <c r="EX68" i="1"/>
  <c r="EX69" i="1"/>
  <c r="EX155" i="1"/>
  <c r="EX71" i="1"/>
  <c r="EX72" i="1"/>
  <c r="EX73" i="1"/>
  <c r="EX74" i="1"/>
  <c r="EX75" i="1"/>
  <c r="EX76" i="1"/>
  <c r="EX77" i="1"/>
  <c r="EX78" i="1"/>
  <c r="EX79" i="1"/>
  <c r="EX80" i="1"/>
  <c r="EX81" i="1"/>
  <c r="EX82" i="1"/>
  <c r="EX83" i="1"/>
  <c r="EX84" i="1"/>
  <c r="EX85" i="1"/>
  <c r="EX86" i="1"/>
  <c r="EX87" i="1"/>
  <c r="EX88" i="1"/>
  <c r="EX114" i="1"/>
  <c r="EX186" i="1"/>
  <c r="EX91" i="1"/>
  <c r="EX92" i="1"/>
  <c r="EX93" i="1"/>
  <c r="EX94" i="1"/>
  <c r="EX95" i="1"/>
  <c r="EX96" i="1"/>
  <c r="EX97" i="1"/>
  <c r="EX98" i="1"/>
  <c r="EX99" i="1"/>
  <c r="EX100" i="1"/>
  <c r="EX101" i="1"/>
  <c r="EX102" i="1"/>
  <c r="EX103" i="1"/>
  <c r="EX104" i="1"/>
  <c r="EX105" i="1"/>
  <c r="EX106" i="1"/>
  <c r="EX107" i="1"/>
  <c r="EX108" i="1"/>
  <c r="EX109" i="1"/>
  <c r="EX110" i="1"/>
  <c r="EX111" i="1"/>
  <c r="EX112" i="1"/>
  <c r="EX113" i="1"/>
  <c r="EX153" i="1"/>
  <c r="EX115" i="1"/>
  <c r="EX116" i="1"/>
  <c r="EX117" i="1"/>
  <c r="EX118" i="1"/>
  <c r="EX119" i="1"/>
  <c r="EX67" i="1"/>
  <c r="EX70" i="1"/>
  <c r="EX122" i="1"/>
  <c r="EX123" i="1"/>
  <c r="EX124" i="1"/>
  <c r="EX125" i="1"/>
  <c r="EX126" i="1"/>
  <c r="EX127" i="1"/>
  <c r="EX128" i="1"/>
  <c r="EX129" i="1"/>
  <c r="EX130" i="1"/>
  <c r="EX131" i="1"/>
  <c r="EX132" i="1"/>
  <c r="EX133" i="1"/>
  <c r="EX134" i="1"/>
  <c r="EX135" i="1"/>
  <c r="EX136" i="1"/>
  <c r="EX137" i="1"/>
  <c r="EX138" i="1"/>
  <c r="EX139" i="1"/>
  <c r="EX140" i="1"/>
  <c r="EX141" i="1"/>
  <c r="EX142" i="1"/>
  <c r="EX143" i="1"/>
  <c r="EX144" i="1"/>
  <c r="EX145" i="1"/>
  <c r="EX146" i="1"/>
  <c r="EX147" i="1"/>
  <c r="EX148" i="1"/>
  <c r="EX149" i="1"/>
  <c r="EX150" i="1"/>
  <c r="EX151" i="1"/>
  <c r="EX152" i="1"/>
  <c r="EX120" i="1"/>
  <c r="EX154" i="1"/>
  <c r="EX89" i="1"/>
  <c r="EX156" i="1"/>
  <c r="EX157" i="1"/>
  <c r="EX158" i="1"/>
  <c r="EX159" i="1"/>
  <c r="EX160" i="1"/>
  <c r="EX161" i="1"/>
  <c r="EX162" i="1"/>
  <c r="EX163" i="1"/>
  <c r="EX164" i="1"/>
  <c r="EX165" i="1"/>
  <c r="EX166" i="1"/>
  <c r="EX167" i="1"/>
  <c r="EX168" i="1"/>
  <c r="EX169" i="1"/>
  <c r="EX170" i="1"/>
  <c r="EX171" i="1"/>
  <c r="EX172" i="1"/>
  <c r="EX173" i="1"/>
  <c r="EX174" i="1"/>
  <c r="EX175" i="1"/>
  <c r="EX176" i="1"/>
  <c r="EX177" i="1"/>
  <c r="EX178" i="1"/>
  <c r="EX179" i="1"/>
  <c r="EX180" i="1"/>
  <c r="EX181" i="1"/>
  <c r="EX182" i="1"/>
  <c r="EX183" i="1"/>
  <c r="EX184" i="1"/>
  <c r="EX185" i="1"/>
  <c r="EX19" i="1"/>
  <c r="EX187" i="1"/>
  <c r="EX188" i="1"/>
  <c r="EX189" i="1"/>
  <c r="EX190" i="1"/>
  <c r="EX191" i="1"/>
  <c r="EX192" i="1"/>
  <c r="EX193" i="1"/>
  <c r="EX194" i="1"/>
  <c r="EX195" i="1"/>
  <c r="EX196" i="1"/>
  <c r="EX197" i="1"/>
  <c r="EX198" i="1"/>
  <c r="EX199" i="1"/>
  <c r="EX200" i="1"/>
  <c r="EX201" i="1"/>
  <c r="EX202" i="1"/>
  <c r="EX203" i="1"/>
  <c r="EX204" i="1"/>
  <c r="EX205" i="1"/>
  <c r="EX206" i="1"/>
  <c r="EX207" i="1"/>
  <c r="EX208" i="1"/>
  <c r="EX209" i="1"/>
  <c r="EX210" i="1"/>
  <c r="EX211" i="1"/>
  <c r="EX212" i="1"/>
  <c r="EX213" i="1"/>
  <c r="EX214" i="1"/>
  <c r="EX215" i="1"/>
  <c r="EX216" i="1"/>
  <c r="EX217" i="1"/>
  <c r="EX218" i="1"/>
  <c r="EX219" i="1"/>
  <c r="EX220" i="1"/>
  <c r="EX221" i="1"/>
  <c r="EX222" i="1"/>
  <c r="EX223" i="1"/>
  <c r="EX224" i="1"/>
  <c r="EX225" i="1"/>
  <c r="EX226" i="1"/>
  <c r="EX227" i="1"/>
  <c r="EX228" i="1"/>
  <c r="EX229" i="1"/>
  <c r="EX230" i="1"/>
  <c r="EX231" i="1"/>
  <c r="EX232" i="1"/>
  <c r="EX233" i="1"/>
  <c r="EX234" i="1"/>
  <c r="EX235" i="1"/>
  <c r="EX236" i="1"/>
  <c r="EX237" i="1"/>
  <c r="EX238" i="1"/>
  <c r="EX239" i="1"/>
  <c r="EX240" i="1"/>
  <c r="EX241" i="1"/>
  <c r="EX242" i="1"/>
  <c r="EX243" i="1"/>
  <c r="EX244" i="1"/>
  <c r="EX245" i="1"/>
  <c r="EX246" i="1"/>
  <c r="EX247" i="1"/>
  <c r="EX248" i="1"/>
  <c r="EX249" i="1"/>
  <c r="EX250" i="1"/>
  <c r="EX251" i="1"/>
  <c r="EX252" i="1"/>
  <c r="EX253" i="1"/>
  <c r="EX254" i="1"/>
  <c r="EX255" i="1"/>
  <c r="EX256" i="1"/>
  <c r="EX257" i="1"/>
  <c r="EX258" i="1"/>
  <c r="EX259" i="1"/>
  <c r="EX260" i="1"/>
  <c r="EX261" i="1"/>
  <c r="EX262" i="1"/>
  <c r="EX263" i="1"/>
  <c r="EX264" i="1"/>
  <c r="EX265" i="1"/>
  <c r="EX266" i="1"/>
  <c r="EX267" i="1"/>
  <c r="EX268" i="1"/>
  <c r="EX269" i="1"/>
  <c r="EX270" i="1"/>
  <c r="EX271" i="1"/>
  <c r="EE7" i="1" a="1"/>
  <c r="EE7" i="1" s="1"/>
  <c r="EE8" i="1" a="1"/>
  <c r="EE8" i="1" s="1"/>
  <c r="EE9" i="1" a="1"/>
  <c r="EE9" i="1" s="1"/>
  <c r="EE10" i="1" a="1"/>
  <c r="EE10" i="1" s="1"/>
  <c r="EE11" i="1" a="1"/>
  <c r="EE11" i="1" s="1"/>
  <c r="EE12" i="1" a="1"/>
  <c r="EE12" i="1" s="1"/>
  <c r="EE13" i="1" a="1"/>
  <c r="EE13" i="1" s="1"/>
  <c r="EE14" i="1" a="1"/>
  <c r="EE14" i="1" s="1"/>
  <c r="EE15" i="1" a="1"/>
  <c r="EE15" i="1" s="1"/>
  <c r="EE16" i="1" a="1"/>
  <c r="EE16" i="1" s="1"/>
  <c r="EE17" i="1" a="1"/>
  <c r="EE17" i="1" s="1"/>
  <c r="EE18" i="1" a="1"/>
  <c r="EE18" i="1" s="1"/>
  <c r="EE90" i="1" a="1"/>
  <c r="EE90" i="1" s="1"/>
  <c r="EE20" i="1" a="1"/>
  <c r="EE20" i="1" s="1"/>
  <c r="EE21" i="1" a="1"/>
  <c r="EE21" i="1" s="1"/>
  <c r="EE22" i="1" a="1"/>
  <c r="EE22" i="1" s="1"/>
  <c r="EE23" i="1" a="1"/>
  <c r="EE23" i="1" s="1"/>
  <c r="EE24" i="1" a="1"/>
  <c r="EE24" i="1" s="1"/>
  <c r="EE25" i="1" a="1"/>
  <c r="EE25" i="1" s="1"/>
  <c r="EE26" i="1" a="1"/>
  <c r="EE26" i="1" s="1"/>
  <c r="EE27" i="1" a="1"/>
  <c r="EE27" i="1" s="1"/>
  <c r="EE28" i="1" a="1"/>
  <c r="EE28" i="1" s="1"/>
  <c r="EE29" i="1" a="1"/>
  <c r="EE29" i="1" s="1"/>
  <c r="EE30" i="1" a="1"/>
  <c r="EE30" i="1" s="1"/>
  <c r="EE31" i="1" a="1"/>
  <c r="EE31" i="1" s="1"/>
  <c r="EE32" i="1" a="1"/>
  <c r="EE32" i="1" s="1"/>
  <c r="EE33" i="1" a="1"/>
  <c r="EE33" i="1" s="1"/>
  <c r="EE34" i="1" a="1"/>
  <c r="EE34" i="1" s="1"/>
  <c r="EE35" i="1" a="1"/>
  <c r="EE35" i="1" s="1"/>
  <c r="EE36" i="1" a="1"/>
  <c r="EE36" i="1" s="1"/>
  <c r="EE37" i="1" a="1"/>
  <c r="EE37" i="1" s="1"/>
  <c r="EE38" i="1" a="1"/>
  <c r="EE38" i="1" s="1"/>
  <c r="EE39" i="1" a="1"/>
  <c r="EE39" i="1" s="1"/>
  <c r="EE40" i="1" a="1"/>
  <c r="EE40" i="1" s="1"/>
  <c r="EE41" i="1" a="1"/>
  <c r="EE41" i="1" s="1"/>
  <c r="EE42" i="1" a="1"/>
  <c r="EE42" i="1" s="1"/>
  <c r="EE43" i="1" a="1"/>
  <c r="EE43" i="1" s="1"/>
  <c r="EE44" i="1" a="1"/>
  <c r="EE44" i="1" s="1"/>
  <c r="EE45" i="1" a="1"/>
  <c r="EE45" i="1" s="1"/>
  <c r="EE46" i="1" a="1"/>
  <c r="EE46" i="1" s="1"/>
  <c r="EE47" i="1" a="1"/>
  <c r="EE47" i="1" s="1"/>
  <c r="EE48" i="1" a="1"/>
  <c r="EE48" i="1" s="1"/>
  <c r="EE49" i="1" a="1"/>
  <c r="EE49" i="1" s="1"/>
  <c r="EE50" i="1" a="1"/>
  <c r="EE50" i="1" s="1"/>
  <c r="EE51" i="1" a="1"/>
  <c r="EE51" i="1" s="1"/>
  <c r="EE52" i="1" a="1"/>
  <c r="EE52" i="1" s="1"/>
  <c r="EE53" i="1" a="1"/>
  <c r="EE53" i="1" s="1"/>
  <c r="EE54" i="1" a="1"/>
  <c r="EE54" i="1" s="1"/>
  <c r="EE55" i="1" a="1"/>
  <c r="EE55" i="1" s="1"/>
  <c r="EE56" i="1" a="1"/>
  <c r="EE56" i="1" s="1"/>
  <c r="EE57" i="1" a="1"/>
  <c r="EE57" i="1" s="1"/>
  <c r="EE58" i="1" a="1"/>
  <c r="EE58" i="1" s="1"/>
  <c r="EE59" i="1" a="1"/>
  <c r="EE59" i="1" s="1"/>
  <c r="EE60" i="1" a="1"/>
  <c r="EE60" i="1" s="1"/>
  <c r="EE61" i="1" a="1"/>
  <c r="EE61" i="1" s="1"/>
  <c r="EE62" i="1" a="1"/>
  <c r="EE62" i="1" s="1"/>
  <c r="EE63" i="1" a="1"/>
  <c r="EE63" i="1" s="1"/>
  <c r="EE64" i="1" a="1"/>
  <c r="EE64" i="1" s="1"/>
  <c r="EE65" i="1" a="1"/>
  <c r="EE65" i="1" s="1"/>
  <c r="EE66" i="1" a="1"/>
  <c r="EE66" i="1" s="1"/>
  <c r="EE121" i="1" a="1"/>
  <c r="EE121" i="1" s="1"/>
  <c r="EE68" i="1" a="1"/>
  <c r="EE68" i="1" s="1"/>
  <c r="EE69" i="1" a="1"/>
  <c r="EE69" i="1" s="1"/>
  <c r="EE155" i="1" a="1"/>
  <c r="EE155" i="1" s="1"/>
  <c r="EE71" i="1" a="1"/>
  <c r="EE71" i="1" s="1"/>
  <c r="EE72" i="1" a="1"/>
  <c r="EE72" i="1" s="1"/>
  <c r="EE73" i="1" a="1"/>
  <c r="EE73" i="1" s="1"/>
  <c r="EE74" i="1" a="1"/>
  <c r="EE74" i="1" s="1"/>
  <c r="EE75" i="1" a="1"/>
  <c r="EE75" i="1" s="1"/>
  <c r="EE76" i="1" a="1"/>
  <c r="EE76" i="1" s="1"/>
  <c r="EE77" i="1" a="1"/>
  <c r="EE77" i="1" s="1"/>
  <c r="EE78" i="1" a="1"/>
  <c r="EE78" i="1" s="1"/>
  <c r="EE79" i="1" a="1"/>
  <c r="EE79" i="1" s="1"/>
  <c r="EE80" i="1" a="1"/>
  <c r="EE80" i="1" s="1"/>
  <c r="EE81" i="1" a="1"/>
  <c r="EE81" i="1" s="1"/>
  <c r="EE82" i="1" a="1"/>
  <c r="EE82" i="1" s="1"/>
  <c r="EE83" i="1" a="1"/>
  <c r="EE83" i="1" s="1"/>
  <c r="EE84" i="1" a="1"/>
  <c r="EE84" i="1" s="1"/>
  <c r="EE85" i="1" a="1"/>
  <c r="EE85" i="1" s="1"/>
  <c r="EE86" i="1" a="1"/>
  <c r="EE86" i="1" s="1"/>
  <c r="EE87" i="1" a="1"/>
  <c r="EE87" i="1" s="1"/>
  <c r="EE88" i="1" a="1"/>
  <c r="EE88" i="1" s="1"/>
  <c r="EE114" i="1" a="1"/>
  <c r="EE114" i="1" s="1"/>
  <c r="EE186" i="1" a="1"/>
  <c r="EE186" i="1" s="1"/>
  <c r="EE91" i="1" a="1"/>
  <c r="EE91" i="1" s="1"/>
  <c r="EE92" i="1" a="1"/>
  <c r="EE92" i="1" s="1"/>
  <c r="EE93" i="1" a="1"/>
  <c r="EE93" i="1" s="1"/>
  <c r="EE94" i="1" a="1"/>
  <c r="EE94" i="1" s="1"/>
  <c r="EE95" i="1" a="1"/>
  <c r="EE95" i="1" s="1"/>
  <c r="EE96" i="1" a="1"/>
  <c r="EE96" i="1" s="1"/>
  <c r="EE97" i="1" a="1"/>
  <c r="EE97" i="1" s="1"/>
  <c r="EE98" i="1" a="1"/>
  <c r="EE98" i="1" s="1"/>
  <c r="EE99" i="1" a="1"/>
  <c r="EE99" i="1" s="1"/>
  <c r="EE100" i="1" a="1"/>
  <c r="EE100" i="1" s="1"/>
  <c r="EE101" i="1" a="1"/>
  <c r="EE101" i="1" s="1"/>
  <c r="EE102" i="1" a="1"/>
  <c r="EE102" i="1" s="1"/>
  <c r="EE103" i="1" a="1"/>
  <c r="EE103" i="1" s="1"/>
  <c r="EE104" i="1" a="1"/>
  <c r="EE104" i="1" s="1"/>
  <c r="EE105" i="1" a="1"/>
  <c r="EE105" i="1" s="1"/>
  <c r="EE106" i="1" a="1"/>
  <c r="EE106" i="1" s="1"/>
  <c r="EE107" i="1" a="1"/>
  <c r="EE107" i="1" s="1"/>
  <c r="EE108" i="1" a="1"/>
  <c r="EE108" i="1" s="1"/>
  <c r="EE109" i="1" a="1"/>
  <c r="EE109" i="1" s="1"/>
  <c r="EE110" i="1" a="1"/>
  <c r="EE110" i="1" s="1"/>
  <c r="EE111" i="1" a="1"/>
  <c r="EE111" i="1" s="1"/>
  <c r="EE112" i="1" a="1"/>
  <c r="EE112" i="1" s="1"/>
  <c r="EE113" i="1" a="1"/>
  <c r="EE113" i="1" s="1"/>
  <c r="EE153" i="1" a="1"/>
  <c r="EE153" i="1" s="1"/>
  <c r="EE115" i="1" a="1"/>
  <c r="EE115" i="1" s="1"/>
  <c r="EE116" i="1" a="1"/>
  <c r="EE116" i="1" s="1"/>
  <c r="EE117" i="1" a="1"/>
  <c r="EE117" i="1" s="1"/>
  <c r="EE118" i="1" a="1"/>
  <c r="EE118" i="1" s="1"/>
  <c r="EE119" i="1" a="1"/>
  <c r="EE119" i="1" s="1"/>
  <c r="EE67" i="1" a="1"/>
  <c r="EE67" i="1" s="1"/>
  <c r="EE70" i="1" a="1"/>
  <c r="EE70" i="1" s="1"/>
  <c r="EE122" i="1" a="1"/>
  <c r="EE122" i="1" s="1"/>
  <c r="EE123" i="1" a="1"/>
  <c r="EE123" i="1" s="1"/>
  <c r="EE124" i="1" a="1"/>
  <c r="EE124" i="1" s="1"/>
  <c r="EE125" i="1" a="1"/>
  <c r="EE125" i="1" s="1"/>
  <c r="EE126" i="1" a="1"/>
  <c r="EE126" i="1" s="1"/>
  <c r="EE127" i="1" a="1"/>
  <c r="EE127" i="1" s="1"/>
  <c r="EE128" i="1" a="1"/>
  <c r="EE128" i="1" s="1"/>
  <c r="EE129" i="1" a="1"/>
  <c r="EE129" i="1" s="1"/>
  <c r="EE130" i="1" a="1"/>
  <c r="EE130" i="1" s="1"/>
  <c r="EE131" i="1" a="1"/>
  <c r="EE131" i="1" s="1"/>
  <c r="EE132" i="1" a="1"/>
  <c r="EE132" i="1" s="1"/>
  <c r="EE133" i="1" a="1"/>
  <c r="EE133" i="1" s="1"/>
  <c r="EE134" i="1" a="1"/>
  <c r="EE134" i="1" s="1"/>
  <c r="EE135" i="1" a="1"/>
  <c r="EE135" i="1" s="1"/>
  <c r="EE136" i="1" a="1"/>
  <c r="EE136" i="1" s="1"/>
  <c r="EE137" i="1" a="1"/>
  <c r="EE137" i="1" s="1"/>
  <c r="EE138" i="1" a="1"/>
  <c r="EE138" i="1" s="1"/>
  <c r="EE139" i="1" a="1"/>
  <c r="EE139" i="1" s="1"/>
  <c r="EE140" i="1" a="1"/>
  <c r="EE140" i="1" s="1"/>
  <c r="EE141" i="1" a="1"/>
  <c r="EE141" i="1" s="1"/>
  <c r="EE142" i="1" a="1"/>
  <c r="EE142" i="1" s="1"/>
  <c r="EE143" i="1" a="1"/>
  <c r="EE143" i="1" s="1"/>
  <c r="EE144" i="1" a="1"/>
  <c r="EE144" i="1" s="1"/>
  <c r="EE145" i="1" a="1"/>
  <c r="EE145" i="1" s="1"/>
  <c r="EE146" i="1" a="1"/>
  <c r="EE146" i="1" s="1"/>
  <c r="EE147" i="1" a="1"/>
  <c r="EE147" i="1" s="1"/>
  <c r="EE148" i="1" a="1"/>
  <c r="EE148" i="1" s="1"/>
  <c r="EE149" i="1" a="1"/>
  <c r="EE149" i="1" s="1"/>
  <c r="EE150" i="1" a="1"/>
  <c r="EE150" i="1" s="1"/>
  <c r="EE151" i="1" a="1"/>
  <c r="EE151" i="1" s="1"/>
  <c r="EE152" i="1" a="1"/>
  <c r="EE152" i="1" s="1"/>
  <c r="EE120" i="1" a="1"/>
  <c r="EE120" i="1" s="1"/>
  <c r="EE154" i="1" a="1"/>
  <c r="EE154" i="1" s="1"/>
  <c r="EE89" i="1" a="1"/>
  <c r="EE89" i="1" s="1"/>
  <c r="EE156" i="1" a="1"/>
  <c r="EE156" i="1" s="1"/>
  <c r="EE157" i="1" a="1"/>
  <c r="EE157" i="1" s="1"/>
  <c r="EE158" i="1" a="1"/>
  <c r="EE158" i="1" s="1"/>
  <c r="EE159" i="1" a="1"/>
  <c r="EE159" i="1" s="1"/>
  <c r="EE160" i="1" a="1"/>
  <c r="EE160" i="1" s="1"/>
  <c r="EE161" i="1" a="1"/>
  <c r="EE161" i="1" s="1"/>
  <c r="EE162" i="1" a="1"/>
  <c r="EE162" i="1" s="1"/>
  <c r="EE163" i="1" a="1"/>
  <c r="EE163" i="1" s="1"/>
  <c r="EE164" i="1" a="1"/>
  <c r="EE164" i="1" s="1"/>
  <c r="EE165" i="1" a="1"/>
  <c r="EE165" i="1" s="1"/>
  <c r="EE166" i="1" a="1"/>
  <c r="EE166" i="1" s="1"/>
  <c r="EE167" i="1" a="1"/>
  <c r="EE167" i="1" s="1"/>
  <c r="EE168" i="1" a="1"/>
  <c r="EE168" i="1" s="1"/>
  <c r="EE169" i="1" a="1"/>
  <c r="EE169" i="1" s="1"/>
  <c r="EE170" i="1" a="1"/>
  <c r="EE170" i="1" s="1"/>
  <c r="EE171" i="1" a="1"/>
  <c r="EE171" i="1" s="1"/>
  <c r="EE172" i="1" a="1"/>
  <c r="EE172" i="1" s="1"/>
  <c r="EE173" i="1" a="1"/>
  <c r="EE173" i="1" s="1"/>
  <c r="EE174" i="1" a="1"/>
  <c r="EE174" i="1" s="1"/>
  <c r="EE175" i="1" a="1"/>
  <c r="EE175" i="1" s="1"/>
  <c r="EE176" i="1" a="1"/>
  <c r="EE176" i="1" s="1"/>
  <c r="EE177" i="1" a="1"/>
  <c r="EE177" i="1" s="1"/>
  <c r="EE178" i="1" a="1"/>
  <c r="EE178" i="1" s="1"/>
  <c r="EE179" i="1" a="1"/>
  <c r="EE179" i="1" s="1"/>
  <c r="EE180" i="1" a="1"/>
  <c r="EE180" i="1" s="1"/>
  <c r="EE181" i="1" a="1"/>
  <c r="EE181" i="1" s="1"/>
  <c r="EE182" i="1" a="1"/>
  <c r="EE182" i="1" s="1"/>
  <c r="EE183" i="1" a="1"/>
  <c r="EE183" i="1" s="1"/>
  <c r="EE184" i="1" a="1"/>
  <c r="EE184" i="1" s="1"/>
  <c r="EE185" i="1" a="1"/>
  <c r="EE185" i="1" s="1"/>
  <c r="EE19" i="1" a="1"/>
  <c r="EE19" i="1" s="1"/>
  <c r="EE187" i="1" a="1"/>
  <c r="EE187" i="1" s="1"/>
  <c r="EE188" i="1" a="1"/>
  <c r="EE188" i="1" s="1"/>
  <c r="EE189" i="1" a="1"/>
  <c r="EE189" i="1" s="1"/>
  <c r="EE190" i="1" a="1"/>
  <c r="EE190" i="1" s="1"/>
  <c r="EE191" i="1" a="1"/>
  <c r="EE191" i="1" s="1"/>
  <c r="EE192" i="1" a="1"/>
  <c r="EE192" i="1" s="1"/>
  <c r="EE193" i="1" a="1"/>
  <c r="EE193" i="1" s="1"/>
  <c r="EE194" i="1" a="1"/>
  <c r="EE194" i="1" s="1"/>
  <c r="EE195" i="1" a="1"/>
  <c r="EE195" i="1" s="1"/>
  <c r="EE196" i="1" a="1"/>
  <c r="EE196" i="1" s="1"/>
  <c r="EE197" i="1" a="1"/>
  <c r="EE197" i="1" s="1"/>
  <c r="EE198" i="1" a="1"/>
  <c r="EE198" i="1" s="1"/>
  <c r="EE199" i="1" a="1"/>
  <c r="EE199" i="1" s="1"/>
  <c r="EE200" i="1" a="1"/>
  <c r="EE200" i="1" s="1"/>
  <c r="EE201" i="1" a="1"/>
  <c r="EE201" i="1" s="1"/>
  <c r="EE202" i="1" a="1"/>
  <c r="EE202" i="1" s="1"/>
  <c r="EE203" i="1" a="1"/>
  <c r="EE203" i="1" s="1"/>
  <c r="EE204" i="1" a="1"/>
  <c r="EE204" i="1" s="1"/>
  <c r="EE205" i="1" a="1"/>
  <c r="EE205" i="1" s="1"/>
  <c r="EE206" i="1" a="1"/>
  <c r="EE206" i="1" s="1"/>
  <c r="EE207" i="1" a="1"/>
  <c r="EE207" i="1" s="1"/>
  <c r="EE208" i="1" a="1"/>
  <c r="EE208" i="1" s="1"/>
  <c r="EE209" i="1" a="1"/>
  <c r="EE209" i="1" s="1"/>
  <c r="EE210" i="1" a="1"/>
  <c r="EE210" i="1" s="1"/>
  <c r="EE211" i="1" a="1"/>
  <c r="EE211" i="1" s="1"/>
  <c r="EE212" i="1" a="1"/>
  <c r="EE212" i="1" s="1"/>
  <c r="EE213" i="1" a="1"/>
  <c r="EE213" i="1" s="1"/>
  <c r="EE214" i="1" a="1"/>
  <c r="EE214" i="1" s="1"/>
  <c r="EE215" i="1" a="1"/>
  <c r="EE215" i="1" s="1"/>
  <c r="EE216" i="1" a="1"/>
  <c r="EE216" i="1" s="1"/>
  <c r="EE217" i="1" a="1"/>
  <c r="EE217" i="1" s="1"/>
  <c r="EE218" i="1" a="1"/>
  <c r="EE218" i="1" s="1"/>
  <c r="EE219" i="1" a="1"/>
  <c r="EE219" i="1" s="1"/>
  <c r="EE220" i="1" a="1"/>
  <c r="EE220" i="1" s="1"/>
  <c r="EE221" i="1" a="1"/>
  <c r="EE221" i="1" s="1"/>
  <c r="EE222" i="1" a="1"/>
  <c r="EE222" i="1" s="1"/>
  <c r="EE223" i="1" a="1"/>
  <c r="EE223" i="1" s="1"/>
  <c r="EE224" i="1" a="1"/>
  <c r="EE224" i="1" s="1"/>
  <c r="EE225" i="1" a="1"/>
  <c r="EE225" i="1" s="1"/>
  <c r="EE226" i="1" a="1"/>
  <c r="EE226" i="1" s="1"/>
  <c r="EE227" i="1" a="1"/>
  <c r="EE227" i="1" s="1"/>
  <c r="EE228" i="1" a="1"/>
  <c r="EE228" i="1" s="1"/>
  <c r="EE229" i="1" a="1"/>
  <c r="EE229" i="1" s="1"/>
  <c r="EE230" i="1" a="1"/>
  <c r="EE230" i="1" s="1"/>
  <c r="EE231" i="1" a="1"/>
  <c r="EE231" i="1" s="1"/>
  <c r="EE232" i="1" a="1"/>
  <c r="EE232" i="1" s="1"/>
  <c r="EE233" i="1" a="1"/>
  <c r="EE233" i="1" s="1"/>
  <c r="EE234" i="1" a="1"/>
  <c r="EE234" i="1" s="1"/>
  <c r="EE235" i="1" a="1"/>
  <c r="EE235" i="1" s="1"/>
  <c r="EE236" i="1" a="1"/>
  <c r="EE236" i="1" s="1"/>
  <c r="EE237" i="1" a="1"/>
  <c r="EE237" i="1" s="1"/>
  <c r="EE238" i="1" a="1"/>
  <c r="EE238" i="1" s="1"/>
  <c r="EE239" i="1" a="1"/>
  <c r="EE239" i="1" s="1"/>
  <c r="EE240" i="1" a="1"/>
  <c r="EE240" i="1" s="1"/>
  <c r="EE241" i="1" a="1"/>
  <c r="EE241" i="1" s="1"/>
  <c r="EE242" i="1" a="1"/>
  <c r="EE242" i="1" s="1"/>
  <c r="EE243" i="1" a="1"/>
  <c r="EE243" i="1" s="1"/>
  <c r="EE244" i="1" a="1"/>
  <c r="EE244" i="1" s="1"/>
  <c r="EE245" i="1" a="1"/>
  <c r="EE245" i="1" s="1"/>
  <c r="EE246" i="1" a="1"/>
  <c r="EE246" i="1" s="1"/>
  <c r="EE247" i="1" a="1"/>
  <c r="EE247" i="1" s="1"/>
  <c r="EE248" i="1" a="1"/>
  <c r="EE248" i="1" s="1"/>
  <c r="EE249" i="1" a="1"/>
  <c r="EE249" i="1" s="1"/>
  <c r="EE250" i="1" a="1"/>
  <c r="EE250" i="1" s="1"/>
  <c r="EE251" i="1" a="1"/>
  <c r="EE251" i="1" s="1"/>
  <c r="EE252" i="1" a="1"/>
  <c r="EE252" i="1" s="1"/>
  <c r="EE253" i="1" a="1"/>
  <c r="EE253" i="1" s="1"/>
  <c r="EE254" i="1" a="1"/>
  <c r="EE254" i="1" s="1"/>
  <c r="EE255" i="1" a="1"/>
  <c r="EE255" i="1" s="1"/>
  <c r="EE256" i="1" a="1"/>
  <c r="EE256" i="1" s="1"/>
  <c r="EE257" i="1" a="1"/>
  <c r="EE257" i="1" s="1"/>
  <c r="EE258" i="1" a="1"/>
  <c r="EE258" i="1" s="1"/>
  <c r="EE259" i="1" a="1"/>
  <c r="EE259" i="1" s="1"/>
  <c r="EE260" i="1" a="1"/>
  <c r="EE260" i="1" s="1"/>
  <c r="EE261" i="1" a="1"/>
  <c r="EE261" i="1" s="1"/>
  <c r="EE262" i="1" a="1"/>
  <c r="EE262" i="1" s="1"/>
  <c r="EE263" i="1" a="1"/>
  <c r="EE263" i="1" s="1"/>
  <c r="EE264" i="1" a="1"/>
  <c r="EE264" i="1" s="1"/>
  <c r="EE265" i="1" a="1"/>
  <c r="EE265" i="1" s="1"/>
  <c r="EE266" i="1" a="1"/>
  <c r="EE266" i="1" s="1"/>
  <c r="EE267" i="1" a="1"/>
  <c r="EE267" i="1" s="1"/>
  <c r="EE268" i="1" a="1"/>
  <c r="EE268" i="1" s="1"/>
  <c r="EE269" i="1" a="1"/>
  <c r="EE269" i="1" s="1"/>
  <c r="EE270" i="1" a="1"/>
  <c r="EE270" i="1" s="1"/>
  <c r="EE271" i="1" a="1"/>
  <c r="EE271" i="1" s="1"/>
  <c r="EE6" i="1" a="1"/>
  <c r="EE6" i="1" s="1"/>
  <c r="EU7" i="1"/>
  <c r="EU8" i="1"/>
  <c r="EU9" i="1"/>
  <c r="EU10" i="1"/>
  <c r="EU11" i="1"/>
  <c r="EU12" i="1"/>
  <c r="EU13" i="1"/>
  <c r="EU14" i="1"/>
  <c r="EU15" i="1"/>
  <c r="EU16" i="1"/>
  <c r="EU17" i="1"/>
  <c r="EU18" i="1"/>
  <c r="EU90" i="1"/>
  <c r="EU20" i="1"/>
  <c r="EU21" i="1"/>
  <c r="EU22" i="1"/>
  <c r="EU23" i="1"/>
  <c r="EU24" i="1"/>
  <c r="EU25" i="1"/>
  <c r="EU26" i="1"/>
  <c r="EU27" i="1"/>
  <c r="EU28" i="1"/>
  <c r="EU29" i="1"/>
  <c r="EU30" i="1"/>
  <c r="EU31" i="1"/>
  <c r="EU32" i="1"/>
  <c r="EU33" i="1"/>
  <c r="EU34" i="1"/>
  <c r="EU35" i="1"/>
  <c r="EU36" i="1"/>
  <c r="EU37" i="1"/>
  <c r="EU38" i="1"/>
  <c r="EU39" i="1"/>
  <c r="EU40" i="1"/>
  <c r="EU41" i="1"/>
  <c r="EU42" i="1"/>
  <c r="EU43" i="1"/>
  <c r="EU44" i="1"/>
  <c r="EU45" i="1"/>
  <c r="EU46" i="1"/>
  <c r="EU47" i="1"/>
  <c r="EU48" i="1"/>
  <c r="EU49" i="1"/>
  <c r="EU50" i="1"/>
  <c r="EU51" i="1"/>
  <c r="EU52" i="1"/>
  <c r="EU53" i="1"/>
  <c r="EU54" i="1"/>
  <c r="EU55" i="1"/>
  <c r="EU56" i="1"/>
  <c r="EU57" i="1"/>
  <c r="EU58" i="1"/>
  <c r="EU59" i="1"/>
  <c r="EU60" i="1"/>
  <c r="EU61" i="1"/>
  <c r="EU62" i="1"/>
  <c r="EU63" i="1"/>
  <c r="EU64" i="1"/>
  <c r="EU65" i="1"/>
  <c r="EU66" i="1"/>
  <c r="EU121" i="1"/>
  <c r="EU68" i="1"/>
  <c r="EU69" i="1"/>
  <c r="EU155" i="1"/>
  <c r="EU71" i="1"/>
  <c r="EU72" i="1"/>
  <c r="EU73" i="1"/>
  <c r="EU74" i="1"/>
  <c r="EU75" i="1"/>
  <c r="EU76" i="1"/>
  <c r="EU77" i="1"/>
  <c r="EU78" i="1"/>
  <c r="EU79" i="1"/>
  <c r="EU80" i="1"/>
  <c r="EU81" i="1"/>
  <c r="EU82" i="1"/>
  <c r="EU83" i="1"/>
  <c r="EU84" i="1"/>
  <c r="EU85" i="1"/>
  <c r="EU86" i="1"/>
  <c r="EU87" i="1"/>
  <c r="EU88" i="1"/>
  <c r="EU114" i="1"/>
  <c r="EU186" i="1"/>
  <c r="EU91" i="1"/>
  <c r="EU92" i="1"/>
  <c r="EU93" i="1"/>
  <c r="EU94" i="1"/>
  <c r="EU95" i="1"/>
  <c r="EU96" i="1"/>
  <c r="EU97" i="1"/>
  <c r="EU98" i="1"/>
  <c r="EU99" i="1"/>
  <c r="EU100" i="1"/>
  <c r="EU101" i="1"/>
  <c r="EU102" i="1"/>
  <c r="EU103" i="1"/>
  <c r="EU104" i="1"/>
  <c r="EU105" i="1"/>
  <c r="EU106" i="1"/>
  <c r="EU107" i="1"/>
  <c r="EU108" i="1"/>
  <c r="EU109" i="1"/>
  <c r="EU110" i="1"/>
  <c r="EU111" i="1"/>
  <c r="EU112" i="1"/>
  <c r="EU113" i="1"/>
  <c r="EU153" i="1"/>
  <c r="EU115" i="1"/>
  <c r="EU116" i="1"/>
  <c r="EU117" i="1"/>
  <c r="EU118" i="1"/>
  <c r="EU119" i="1"/>
  <c r="EU67" i="1"/>
  <c r="EU70" i="1"/>
  <c r="EU122" i="1"/>
  <c r="EU123" i="1"/>
  <c r="EU124" i="1"/>
  <c r="EU125" i="1"/>
  <c r="EU126" i="1"/>
  <c r="EU127" i="1"/>
  <c r="EU128" i="1"/>
  <c r="EU129" i="1"/>
  <c r="EU130" i="1"/>
  <c r="EU131" i="1"/>
  <c r="EU132" i="1"/>
  <c r="EU133" i="1"/>
  <c r="EU134" i="1"/>
  <c r="EU135" i="1"/>
  <c r="EU136" i="1"/>
  <c r="EU137" i="1"/>
  <c r="EU138" i="1"/>
  <c r="EU139" i="1"/>
  <c r="EU140" i="1"/>
  <c r="EU141" i="1"/>
  <c r="EU142" i="1"/>
  <c r="EU143" i="1"/>
  <c r="EU144" i="1"/>
  <c r="EU145" i="1"/>
  <c r="EU146" i="1"/>
  <c r="EU147" i="1"/>
  <c r="EU148" i="1"/>
  <c r="EU149" i="1"/>
  <c r="EU150" i="1"/>
  <c r="EU151" i="1"/>
  <c r="EU152" i="1"/>
  <c r="EU120" i="1"/>
  <c r="EU154" i="1"/>
  <c r="EU89" i="1"/>
  <c r="EU156" i="1"/>
  <c r="EU157" i="1"/>
  <c r="EU158" i="1"/>
  <c r="EU159" i="1"/>
  <c r="EU160" i="1"/>
  <c r="EU161" i="1"/>
  <c r="EU162" i="1"/>
  <c r="EU163" i="1"/>
  <c r="EU164" i="1"/>
  <c r="EU165" i="1"/>
  <c r="EU166" i="1"/>
  <c r="EU167" i="1"/>
  <c r="EU168" i="1"/>
  <c r="EU169" i="1"/>
  <c r="EU170" i="1"/>
  <c r="EU171" i="1"/>
  <c r="EU172" i="1"/>
  <c r="EU173" i="1"/>
  <c r="EU174" i="1"/>
  <c r="EU175" i="1"/>
  <c r="EU176" i="1"/>
  <c r="EU177" i="1"/>
  <c r="EU178" i="1"/>
  <c r="EU179" i="1"/>
  <c r="EU180" i="1"/>
  <c r="EU181" i="1"/>
  <c r="EU182" i="1"/>
  <c r="EU183" i="1"/>
  <c r="EU184" i="1"/>
  <c r="EU185" i="1"/>
  <c r="EU19" i="1"/>
  <c r="EU187" i="1"/>
  <c r="EU188" i="1"/>
  <c r="EU189" i="1"/>
  <c r="EU190" i="1"/>
  <c r="EU191" i="1"/>
  <c r="EU192" i="1"/>
  <c r="EU193" i="1"/>
  <c r="EU194" i="1"/>
  <c r="EU195" i="1"/>
  <c r="EU196" i="1"/>
  <c r="EU197" i="1"/>
  <c r="EU198" i="1"/>
  <c r="EU199" i="1"/>
  <c r="EU200" i="1"/>
  <c r="EU201" i="1"/>
  <c r="EU202" i="1"/>
  <c r="EU203" i="1"/>
  <c r="EU204" i="1"/>
  <c r="EU205" i="1"/>
  <c r="EU206" i="1"/>
  <c r="EU207" i="1"/>
  <c r="EU208" i="1"/>
  <c r="EU209" i="1"/>
  <c r="EU210" i="1"/>
  <c r="EU211" i="1"/>
  <c r="EU212" i="1"/>
  <c r="EU213" i="1"/>
  <c r="EU214" i="1"/>
  <c r="EU215" i="1"/>
  <c r="EU216" i="1"/>
  <c r="EU217" i="1"/>
  <c r="EU218" i="1"/>
  <c r="EU219" i="1"/>
  <c r="EU220" i="1"/>
  <c r="EU221" i="1"/>
  <c r="EU222" i="1"/>
  <c r="EU223" i="1"/>
  <c r="EU224" i="1"/>
  <c r="EU225" i="1"/>
  <c r="EU226" i="1"/>
  <c r="EU227" i="1"/>
  <c r="EU228" i="1"/>
  <c r="EU229" i="1"/>
  <c r="EU230" i="1"/>
  <c r="EU231" i="1"/>
  <c r="EU232" i="1"/>
  <c r="EU233" i="1"/>
  <c r="EU234" i="1"/>
  <c r="EU235" i="1"/>
  <c r="EU236" i="1"/>
  <c r="EU237" i="1"/>
  <c r="EU238" i="1"/>
  <c r="EU239" i="1"/>
  <c r="EU240" i="1"/>
  <c r="EU241" i="1"/>
  <c r="EU242" i="1"/>
  <c r="EU243" i="1"/>
  <c r="EU244" i="1"/>
  <c r="EU245" i="1"/>
  <c r="EU246" i="1"/>
  <c r="EU247" i="1"/>
  <c r="EU248" i="1"/>
  <c r="EU249" i="1"/>
  <c r="EU250" i="1"/>
  <c r="EU251" i="1"/>
  <c r="EU252" i="1"/>
  <c r="EU253" i="1"/>
  <c r="EU254" i="1"/>
  <c r="EU255" i="1"/>
  <c r="EU256" i="1"/>
  <c r="EU257" i="1"/>
  <c r="EU258" i="1"/>
  <c r="EU259" i="1"/>
  <c r="EU260" i="1"/>
  <c r="EU261" i="1"/>
  <c r="EU262" i="1"/>
  <c r="EU263" i="1"/>
  <c r="EU264" i="1"/>
  <c r="EU265" i="1"/>
  <c r="EU266" i="1"/>
  <c r="EU267" i="1"/>
  <c r="EU268" i="1"/>
  <c r="EU269" i="1"/>
  <c r="EU270" i="1"/>
  <c r="EU271" i="1"/>
  <c r="EU6" i="1"/>
  <c r="CM223" i="1" l="1"/>
  <c r="CM219" i="1"/>
  <c r="CM215" i="1"/>
  <c r="CM211" i="1"/>
  <c r="CM207" i="1"/>
  <c r="CM203" i="1"/>
  <c r="CM199" i="1"/>
  <c r="CM195" i="1"/>
  <c r="CM191" i="1"/>
  <c r="CM187" i="1"/>
  <c r="CM183" i="1"/>
  <c r="CM179" i="1"/>
  <c r="CM175" i="1"/>
  <c r="CM171" i="1"/>
  <c r="CM167" i="1"/>
  <c r="CM163" i="1"/>
  <c r="CM159" i="1"/>
  <c r="CM155" i="1"/>
  <c r="CM151" i="1"/>
  <c r="CM147" i="1"/>
  <c r="CM143" i="1"/>
  <c r="CM139" i="1"/>
  <c r="CM135" i="1"/>
  <c r="CM131" i="1"/>
  <c r="CM127" i="1"/>
  <c r="CM123" i="1"/>
  <c r="CM119" i="1"/>
  <c r="CM115" i="1"/>
  <c r="CM111" i="1"/>
  <c r="CM107" i="1"/>
  <c r="CM103" i="1"/>
  <c r="CM99" i="1"/>
  <c r="CM95" i="1"/>
  <c r="CM91" i="1"/>
  <c r="CM87" i="1"/>
  <c r="CM83" i="1"/>
  <c r="CM79" i="1"/>
  <c r="CM75" i="1"/>
  <c r="CM11" i="1"/>
  <c r="CM7" i="1"/>
  <c r="CM6" i="1"/>
  <c r="CM8" i="1"/>
  <c r="CM269" i="1"/>
  <c r="CM265" i="1"/>
  <c r="CM261" i="1"/>
  <c r="CM257" i="1"/>
  <c r="CM253" i="1"/>
  <c r="CM249" i="1"/>
  <c r="CM245" i="1"/>
  <c r="CM241" i="1"/>
  <c r="CM237" i="1"/>
  <c r="CM233" i="1"/>
  <c r="CM229" i="1"/>
  <c r="CM225" i="1"/>
  <c r="CM221" i="1"/>
  <c r="CM217" i="1"/>
  <c r="CM213" i="1"/>
  <c r="CM209" i="1"/>
  <c r="CM205" i="1"/>
  <c r="CM201" i="1"/>
  <c r="CM197" i="1"/>
  <c r="CM193" i="1"/>
  <c r="CM189" i="1"/>
  <c r="CM185" i="1"/>
  <c r="CM181" i="1"/>
  <c r="CM177" i="1"/>
  <c r="CM173" i="1"/>
  <c r="CM169" i="1"/>
  <c r="CM165" i="1"/>
  <c r="CM161" i="1"/>
  <c r="CM157" i="1"/>
  <c r="CM153" i="1"/>
  <c r="CM149" i="1"/>
  <c r="CM145" i="1"/>
  <c r="CM141" i="1"/>
  <c r="CM137" i="1"/>
  <c r="CM133" i="1"/>
  <c r="CM129" i="1"/>
  <c r="CM125" i="1"/>
  <c r="CM121" i="1"/>
  <c r="CM117" i="1"/>
  <c r="CM113" i="1"/>
  <c r="CM109" i="1"/>
  <c r="CM105" i="1"/>
  <c r="CM101" i="1"/>
  <c r="CM97" i="1"/>
  <c r="CM93" i="1"/>
  <c r="CM89" i="1"/>
  <c r="CM85" i="1"/>
  <c r="CM81" i="1"/>
  <c r="CM77" i="1"/>
  <c r="CM73" i="1"/>
  <c r="CM69" i="1"/>
  <c r="CM65" i="1"/>
  <c r="CM61" i="1"/>
  <c r="CM57" i="1"/>
  <c r="CM53" i="1"/>
  <c r="CM49" i="1"/>
  <c r="CM45" i="1"/>
  <c r="CM41" i="1"/>
  <c r="CM37" i="1"/>
  <c r="CM33" i="1"/>
  <c r="CM29" i="1"/>
  <c r="CM25" i="1"/>
  <c r="CM21" i="1"/>
  <c r="CM17" i="1"/>
  <c r="CM13" i="1"/>
  <c r="CM270" i="1"/>
  <c r="CM262" i="1"/>
  <c r="CM258" i="1"/>
  <c r="CM254" i="1"/>
  <c r="CM250" i="1"/>
  <c r="CM246" i="1"/>
  <c r="CM242" i="1"/>
  <c r="CM74" i="1"/>
  <c r="CM70" i="1"/>
  <c r="CM66" i="1"/>
  <c r="CM62" i="1"/>
  <c r="CM58" i="1"/>
  <c r="CM54" i="1"/>
  <c r="CM50" i="1"/>
  <c r="CM46" i="1"/>
  <c r="CM42" i="1"/>
  <c r="CM38" i="1"/>
  <c r="CM34" i="1"/>
  <c r="CM30" i="1"/>
  <c r="CM26" i="1"/>
  <c r="CM22" i="1"/>
  <c r="CM18" i="1"/>
  <c r="CM14" i="1"/>
  <c r="CM271" i="1"/>
  <c r="CM267" i="1"/>
  <c r="CM263" i="1"/>
  <c r="CM259" i="1"/>
  <c r="CM255" i="1"/>
  <c r="CM251" i="1"/>
  <c r="CM247" i="1"/>
  <c r="CM243" i="1"/>
  <c r="CM239" i="1"/>
  <c r="CM235" i="1"/>
  <c r="CM231" i="1"/>
  <c r="CM227" i="1"/>
  <c r="CM71" i="1"/>
  <c r="CM67" i="1"/>
  <c r="CM63" i="1"/>
  <c r="CM59" i="1"/>
  <c r="CM55" i="1"/>
  <c r="CM51" i="1"/>
  <c r="CM47" i="1"/>
  <c r="CM43" i="1"/>
  <c r="CM39" i="1"/>
  <c r="CM35" i="1"/>
  <c r="CM31" i="1"/>
  <c r="CM27" i="1"/>
  <c r="CM23" i="1"/>
  <c r="CM19" i="1"/>
  <c r="CM15" i="1"/>
  <c r="CM268" i="1"/>
  <c r="CM264" i="1"/>
  <c r="CM260" i="1"/>
  <c r="CM256" i="1"/>
  <c r="CM252" i="1"/>
  <c r="CM248" i="1"/>
  <c r="CM244" i="1"/>
  <c r="CM240" i="1"/>
  <c r="CM236" i="1"/>
  <c r="CM232" i="1"/>
  <c r="CM228" i="1"/>
  <c r="CM224" i="1"/>
  <c r="CM220" i="1"/>
  <c r="CM216" i="1"/>
  <c r="CM212" i="1"/>
  <c r="CM208" i="1"/>
  <c r="CM204" i="1"/>
  <c r="CM200" i="1"/>
  <c r="CM196" i="1"/>
  <c r="CM192" i="1"/>
  <c r="CM188" i="1"/>
  <c r="CM184" i="1"/>
  <c r="CM180" i="1"/>
  <c r="CM176" i="1"/>
  <c r="CM172" i="1"/>
  <c r="CM168" i="1"/>
  <c r="CM164" i="1"/>
  <c r="CM160" i="1"/>
  <c r="CM156" i="1"/>
  <c r="CM152" i="1"/>
  <c r="CM148" i="1"/>
  <c r="CM144" i="1"/>
  <c r="CM140" i="1"/>
  <c r="CM136" i="1"/>
  <c r="CM132" i="1"/>
  <c r="CM128" i="1"/>
  <c r="CM124" i="1"/>
  <c r="CM120" i="1"/>
  <c r="CM116" i="1"/>
  <c r="CM112" i="1"/>
  <c r="CM108" i="1"/>
  <c r="CM104" i="1"/>
  <c r="CM100" i="1"/>
  <c r="CM96" i="1"/>
  <c r="CM92" i="1"/>
  <c r="CM88" i="1"/>
  <c r="CM84" i="1"/>
  <c r="CM80" i="1"/>
  <c r="CM76" i="1"/>
  <c r="CM72" i="1"/>
  <c r="CM68" i="1"/>
  <c r="CM64" i="1"/>
  <c r="CM60" i="1"/>
  <c r="CM56" i="1"/>
  <c r="CM52" i="1"/>
  <c r="CM48" i="1"/>
  <c r="CM44" i="1"/>
  <c r="CM40" i="1"/>
  <c r="CM36" i="1"/>
  <c r="CM32" i="1"/>
  <c r="CM28" i="1"/>
  <c r="CM24" i="1"/>
  <c r="CM20" i="1"/>
  <c r="CM16" i="1"/>
  <c r="CM12" i="1"/>
  <c r="CM9" i="1"/>
  <c r="CM266" i="1"/>
  <c r="CM238" i="1"/>
  <c r="CM234" i="1"/>
  <c r="CM230" i="1"/>
  <c r="CM226" i="1"/>
  <c r="CM222" i="1"/>
  <c r="CM218" i="1"/>
  <c r="CM214" i="1"/>
  <c r="CM210" i="1"/>
  <c r="CM206" i="1"/>
  <c r="CM202" i="1"/>
  <c r="CM198" i="1"/>
  <c r="CM194" i="1"/>
  <c r="CM190" i="1"/>
  <c r="CM186" i="1"/>
  <c r="CM182" i="1"/>
  <c r="CM178" i="1"/>
  <c r="CM174" i="1"/>
  <c r="CM170" i="1"/>
  <c r="CM166" i="1"/>
  <c r="CM162" i="1"/>
  <c r="CM158" i="1"/>
  <c r="CM154" i="1"/>
  <c r="CM150" i="1"/>
  <c r="CM146" i="1"/>
  <c r="CM142" i="1"/>
  <c r="CM138" i="1"/>
  <c r="CM134" i="1"/>
  <c r="CM130" i="1"/>
  <c r="CM126" i="1"/>
  <c r="CM122" i="1"/>
  <c r="CM118" i="1"/>
  <c r="CM114" i="1"/>
  <c r="CM110" i="1"/>
  <c r="CM106" i="1"/>
  <c r="CM102" i="1"/>
  <c r="CM98" i="1"/>
  <c r="CM94" i="1"/>
  <c r="CM90" i="1"/>
  <c r="CM86" i="1"/>
  <c r="CM82" i="1"/>
  <c r="CM78" i="1"/>
  <c r="CM10" i="1"/>
  <c r="BM2" i="1"/>
  <c r="BL4" i="1"/>
  <c r="BM4" i="1" s="1"/>
  <c r="CE267" i="1"/>
  <c r="CE263" i="1"/>
  <c r="CE259" i="1"/>
  <c r="CE255" i="1"/>
  <c r="CE251" i="1"/>
  <c r="CE247" i="1"/>
  <c r="CE243" i="1"/>
  <c r="CE239" i="1"/>
  <c r="CE235" i="1"/>
  <c r="CE231" i="1"/>
  <c r="CE223" i="1"/>
  <c r="CE215" i="1"/>
  <c r="CE207" i="1"/>
  <c r="CE199" i="1"/>
  <c r="CE191" i="1"/>
  <c r="CE183" i="1"/>
  <c r="CG175" i="1"/>
  <c r="CG171" i="1"/>
  <c r="CE167" i="1"/>
  <c r="CE163" i="1"/>
  <c r="CE155" i="1"/>
  <c r="CE151" i="1"/>
  <c r="CE139" i="1"/>
  <c r="CE135" i="1"/>
  <c r="CE131" i="1"/>
  <c r="CE127" i="1"/>
  <c r="CG123" i="1"/>
  <c r="CG119" i="1"/>
  <c r="CE115" i="1"/>
  <c r="CE111" i="1"/>
  <c r="CE87" i="1"/>
  <c r="CE83" i="1"/>
  <c r="CE79" i="1"/>
  <c r="CE71" i="1"/>
  <c r="CE67" i="1"/>
  <c r="CE59" i="1"/>
  <c r="CE51" i="1"/>
  <c r="CE47" i="1"/>
  <c r="CE39" i="1"/>
  <c r="CE31" i="1"/>
  <c r="CE23" i="1"/>
  <c r="CE15" i="1"/>
  <c r="CE11" i="1"/>
  <c r="CE264" i="1"/>
  <c r="CE260" i="1"/>
  <c r="CE256" i="1"/>
  <c r="CE252" i="1"/>
  <c r="CE248" i="1"/>
  <c r="CE244" i="1"/>
  <c r="CE7" i="1"/>
  <c r="CE95" i="1"/>
  <c r="CG88" i="1"/>
  <c r="CG84" i="1"/>
  <c r="CG80" i="1"/>
  <c r="CG76" i="1"/>
  <c r="CG68" i="1"/>
  <c r="CG60" i="1"/>
  <c r="CG52" i="1"/>
  <c r="CG48" i="1"/>
  <c r="CG44" i="1"/>
  <c r="CG40" i="1"/>
  <c r="CG32" i="1"/>
  <c r="CG20" i="1"/>
  <c r="CG16" i="1"/>
  <c r="CG12" i="1"/>
  <c r="CE240" i="1"/>
  <c r="CE232" i="1"/>
  <c r="CE228" i="1"/>
  <c r="CE220" i="1"/>
  <c r="CE212" i="1"/>
  <c r="CE204" i="1"/>
  <c r="CE196" i="1"/>
  <c r="CE188" i="1"/>
  <c r="CE180" i="1"/>
  <c r="CG176" i="1"/>
  <c r="CG172" i="1"/>
  <c r="CG168" i="1"/>
  <c r="CG164" i="1"/>
  <c r="CG160" i="1"/>
  <c r="CG152" i="1"/>
  <c r="CG148" i="1"/>
  <c r="CG144" i="1"/>
  <c r="CG136" i="1"/>
  <c r="CG132" i="1"/>
  <c r="CG128" i="1"/>
  <c r="CG120" i="1"/>
  <c r="CG116" i="1"/>
  <c r="CG112" i="1"/>
  <c r="CG104" i="1"/>
  <c r="CG96" i="1"/>
  <c r="CG11" i="1"/>
  <c r="CG8" i="1"/>
  <c r="CG154" i="1"/>
  <c r="CG150" i="1"/>
  <c r="CG146" i="1"/>
  <c r="CG142" i="1"/>
  <c r="CG38" i="1"/>
  <c r="CG34" i="1"/>
  <c r="CG30" i="1"/>
  <c r="CG26" i="1"/>
  <c r="CG10" i="1"/>
  <c r="CG270" i="1"/>
  <c r="CG266" i="1"/>
  <c r="CG258" i="1"/>
  <c r="CG254" i="1"/>
  <c r="CG250" i="1"/>
  <c r="CG242" i="1"/>
  <c r="CG238" i="1"/>
  <c r="CG230" i="1"/>
  <c r="CG222" i="1"/>
  <c r="CG214" i="1"/>
  <c r="CG206" i="1"/>
  <c r="CG198" i="1"/>
  <c r="CG190" i="1"/>
  <c r="CG182" i="1"/>
  <c r="CG170" i="1"/>
  <c r="CG167" i="1"/>
  <c r="CG134" i="1"/>
  <c r="CG130" i="1"/>
  <c r="CG118" i="1"/>
  <c r="CG110" i="1"/>
  <c r="CG106" i="1"/>
  <c r="CG102" i="1"/>
  <c r="CG98" i="1"/>
  <c r="CG74" i="1"/>
  <c r="CG269" i="1"/>
  <c r="CG265" i="1"/>
  <c r="CG261" i="1"/>
  <c r="CG257" i="1"/>
  <c r="CG253" i="1"/>
  <c r="CG249" i="1"/>
  <c r="CG135" i="1"/>
  <c r="CG248" i="1"/>
  <c r="CG245" i="1"/>
  <c r="CG241" i="1"/>
  <c r="CG237" i="1"/>
  <c r="CG233" i="1"/>
  <c r="CG229" i="1"/>
  <c r="CG225" i="1"/>
  <c r="CG221" i="1"/>
  <c r="CG217" i="1"/>
  <c r="CG213" i="1"/>
  <c r="CG209" i="1"/>
  <c r="CG205" i="1"/>
  <c r="CG201" i="1"/>
  <c r="CG197" i="1"/>
  <c r="CG193" i="1"/>
  <c r="CG189" i="1"/>
  <c r="CG185" i="1"/>
  <c r="CG181" i="1"/>
  <c r="CG177" i="1"/>
  <c r="CG173" i="1"/>
  <c r="CG169" i="1"/>
  <c r="CG67" i="1"/>
  <c r="CG162" i="1"/>
  <c r="CG54" i="1"/>
  <c r="CG95" i="1"/>
  <c r="CG158" i="1"/>
  <c r="CG58" i="1"/>
  <c r="CG42" i="1"/>
  <c r="CG264" i="1"/>
  <c r="CG155" i="1"/>
  <c r="CG39" i="1"/>
  <c r="CE236" i="1"/>
  <c r="CG236" i="1"/>
  <c r="CE224" i="1"/>
  <c r="CG224" i="1"/>
  <c r="CE216" i="1"/>
  <c r="CG216" i="1"/>
  <c r="CE208" i="1"/>
  <c r="CG208" i="1"/>
  <c r="CE200" i="1"/>
  <c r="CG200" i="1"/>
  <c r="CE192" i="1"/>
  <c r="CG192" i="1"/>
  <c r="CE184" i="1"/>
  <c r="CG184" i="1"/>
  <c r="CE107" i="1"/>
  <c r="CG107" i="1"/>
  <c r="CE147" i="1"/>
  <c r="CG147" i="1"/>
  <c r="CG46" i="1"/>
  <c r="CE227" i="1"/>
  <c r="CG227" i="1"/>
  <c r="CE219" i="1"/>
  <c r="CG219" i="1"/>
  <c r="CE211" i="1"/>
  <c r="CG211" i="1"/>
  <c r="CE203" i="1"/>
  <c r="CG203" i="1"/>
  <c r="CE195" i="1"/>
  <c r="CG195" i="1"/>
  <c r="CE187" i="1"/>
  <c r="CG187" i="1"/>
  <c r="CE179" i="1"/>
  <c r="CG179" i="1"/>
  <c r="CE75" i="1"/>
  <c r="CG75" i="1"/>
  <c r="CE271" i="1"/>
  <c r="CG271" i="1"/>
  <c r="CE19" i="1"/>
  <c r="CG19" i="1"/>
  <c r="CE268" i="1"/>
  <c r="CG268" i="1"/>
  <c r="CE43" i="1"/>
  <c r="CG43" i="1"/>
  <c r="CG24" i="1"/>
  <c r="CE24" i="1"/>
  <c r="CG252" i="1"/>
  <c r="CG231" i="1"/>
  <c r="CG228" i="1"/>
  <c r="CG223" i="1"/>
  <c r="CG220" i="1"/>
  <c r="CG215" i="1"/>
  <c r="CG212" i="1"/>
  <c r="CG207" i="1"/>
  <c r="CG204" i="1"/>
  <c r="CG199" i="1"/>
  <c r="CG196" i="1"/>
  <c r="CG191" i="1"/>
  <c r="CG188" i="1"/>
  <c r="CG183" i="1"/>
  <c r="CG180" i="1"/>
  <c r="CG127" i="1"/>
  <c r="CG87" i="1"/>
  <c r="CG59" i="1"/>
  <c r="CE152" i="1"/>
  <c r="CG115" i="1"/>
  <c r="CG83" i="1"/>
  <c r="CG51" i="1"/>
  <c r="CG23" i="1"/>
  <c r="CG262" i="1"/>
  <c r="CG246" i="1"/>
  <c r="CG234" i="1"/>
  <c r="CG226" i="1"/>
  <c r="CG218" i="1"/>
  <c r="CG210" i="1"/>
  <c r="CG202" i="1"/>
  <c r="CG194" i="1"/>
  <c r="CG186" i="1"/>
  <c r="CG178" i="1"/>
  <c r="CG166" i="1"/>
  <c r="CG138" i="1"/>
  <c r="CG126" i="1"/>
  <c r="CG122" i="1"/>
  <c r="CG114" i="1"/>
  <c r="CG94" i="1"/>
  <c r="CG90" i="1"/>
  <c r="CG82" i="1"/>
  <c r="CG78" i="1"/>
  <c r="CG66" i="1"/>
  <c r="CG62" i="1"/>
  <c r="CG50" i="1"/>
  <c r="CG18" i="1"/>
  <c r="CG14" i="1"/>
  <c r="CE175" i="1"/>
  <c r="CE173" i="1"/>
  <c r="CE171" i="1"/>
  <c r="CE168" i="1"/>
  <c r="CG139" i="1"/>
  <c r="CG131" i="1"/>
  <c r="CE119" i="1"/>
  <c r="CE116" i="1"/>
  <c r="CE96" i="1"/>
  <c r="CE84" i="1"/>
  <c r="CE68" i="1"/>
  <c r="CE52" i="1"/>
  <c r="CG260" i="1"/>
  <c r="CG244" i="1"/>
  <c r="CG235" i="1"/>
  <c r="CG232" i="1"/>
  <c r="CE32" i="1"/>
  <c r="CG256" i="1"/>
  <c r="CG240" i="1"/>
  <c r="CG163" i="1"/>
  <c r="CG151" i="1"/>
  <c r="CE136" i="1"/>
  <c r="CG111" i="1"/>
  <c r="CE88" i="1"/>
  <c r="CE76" i="1"/>
  <c r="CE60" i="1"/>
  <c r="CG47" i="1"/>
  <c r="CG31" i="1"/>
  <c r="CE12" i="1"/>
  <c r="CG156" i="1"/>
  <c r="CE156" i="1"/>
  <c r="CG108" i="1"/>
  <c r="CE108" i="1"/>
  <c r="CG263" i="1"/>
  <c r="CG255" i="1"/>
  <c r="CG247" i="1"/>
  <c r="CG239" i="1"/>
  <c r="CE166" i="1"/>
  <c r="CG159" i="1"/>
  <c r="CE159" i="1"/>
  <c r="CG140" i="1"/>
  <c r="CE140" i="1"/>
  <c r="CG72" i="1"/>
  <c r="CE72" i="1"/>
  <c r="CE150" i="1"/>
  <c r="CG143" i="1"/>
  <c r="CE143" i="1"/>
  <c r="CE103" i="1"/>
  <c r="CG103" i="1"/>
  <c r="CE99" i="1"/>
  <c r="CG99" i="1"/>
  <c r="CE27" i="1"/>
  <c r="CG27" i="1"/>
  <c r="CG267" i="1"/>
  <c r="CG259" i="1"/>
  <c r="CG251" i="1"/>
  <c r="CG243" i="1"/>
  <c r="CE134" i="1"/>
  <c r="CG70" i="1"/>
  <c r="CG64" i="1"/>
  <c r="CE64" i="1"/>
  <c r="CE170" i="1"/>
  <c r="CE154" i="1"/>
  <c r="CE138" i="1"/>
  <c r="CG124" i="1"/>
  <c r="CE124" i="1"/>
  <c r="CE114" i="1"/>
  <c r="CE98" i="1"/>
  <c r="CG92" i="1"/>
  <c r="CE92" i="1"/>
  <c r="CG86" i="1"/>
  <c r="CE63" i="1"/>
  <c r="CG63" i="1"/>
  <c r="CG36" i="1"/>
  <c r="CE36" i="1"/>
  <c r="CE160" i="1"/>
  <c r="CE158" i="1"/>
  <c r="CE144" i="1"/>
  <c r="CE142" i="1"/>
  <c r="CE130" i="1"/>
  <c r="CE91" i="1"/>
  <c r="CG91" i="1"/>
  <c r="CE80" i="1"/>
  <c r="CG56" i="1"/>
  <c r="CE56" i="1"/>
  <c r="CE35" i="1"/>
  <c r="CG35" i="1"/>
  <c r="CE8" i="1"/>
  <c r="CE164" i="1"/>
  <c r="CE162" i="1"/>
  <c r="CE148" i="1"/>
  <c r="CE146" i="1"/>
  <c r="CE132" i="1"/>
  <c r="CE123" i="1"/>
  <c r="CE120" i="1"/>
  <c r="CE118" i="1"/>
  <c r="CG100" i="1"/>
  <c r="CE100" i="1"/>
  <c r="CE55" i="1"/>
  <c r="CG55" i="1"/>
  <c r="CE50" i="1"/>
  <c r="CE44" i="1"/>
  <c r="CE34" i="1"/>
  <c r="CG28" i="1"/>
  <c r="CE28" i="1"/>
  <c r="CG22" i="1"/>
  <c r="CE16" i="1"/>
  <c r="CE122" i="1"/>
  <c r="CE82" i="1"/>
  <c r="CG79" i="1"/>
  <c r="CG71" i="1"/>
  <c r="CE18" i="1"/>
  <c r="CG15" i="1"/>
  <c r="CG7" i="1"/>
  <c r="CE128" i="1"/>
  <c r="CE126" i="1"/>
  <c r="CE112" i="1"/>
  <c r="CE104" i="1"/>
  <c r="CE66" i="1"/>
  <c r="CE48" i="1"/>
  <c r="CE40" i="1"/>
  <c r="CE20" i="1"/>
  <c r="CE270" i="1"/>
  <c r="CE266" i="1"/>
  <c r="CE262" i="1"/>
  <c r="CE258" i="1"/>
  <c r="CE254" i="1"/>
  <c r="CE250" i="1"/>
  <c r="CE246" i="1"/>
  <c r="CE242" i="1"/>
  <c r="CE238" i="1"/>
  <c r="CE234" i="1"/>
  <c r="CE230" i="1"/>
  <c r="CE226" i="1"/>
  <c r="CE222" i="1"/>
  <c r="CE218" i="1"/>
  <c r="CE214" i="1"/>
  <c r="CE210" i="1"/>
  <c r="CE206" i="1"/>
  <c r="CE202" i="1"/>
  <c r="CE198" i="1"/>
  <c r="CE194" i="1"/>
  <c r="CE190" i="1"/>
  <c r="CE186" i="1"/>
  <c r="CE182" i="1"/>
  <c r="CE178" i="1"/>
  <c r="CE102" i="1"/>
  <c r="CE86" i="1"/>
  <c r="CE70" i="1"/>
  <c r="CE54" i="1"/>
  <c r="CE38" i="1"/>
  <c r="CE22" i="1"/>
  <c r="CE106" i="1"/>
  <c r="CE90" i="1"/>
  <c r="CE74" i="1"/>
  <c r="CE58" i="1"/>
  <c r="CE42" i="1"/>
  <c r="CE26" i="1"/>
  <c r="CE10" i="1"/>
  <c r="CE174" i="1"/>
  <c r="CE110" i="1"/>
  <c r="CE94" i="1"/>
  <c r="CE78" i="1"/>
  <c r="CE62" i="1"/>
  <c r="CE46" i="1"/>
  <c r="CE30" i="1"/>
  <c r="CE14" i="1"/>
  <c r="CG13" i="1"/>
  <c r="CE13" i="1"/>
  <c r="CE269" i="1"/>
  <c r="CE265" i="1"/>
  <c r="CE261" i="1"/>
  <c r="CE257" i="1"/>
  <c r="CE253" i="1"/>
  <c r="CE249" i="1"/>
  <c r="CE245" i="1"/>
  <c r="CE241" i="1"/>
  <c r="CE237" i="1"/>
  <c r="CE233" i="1"/>
  <c r="CE229" i="1"/>
  <c r="CE225" i="1"/>
  <c r="CE221" i="1"/>
  <c r="CE217" i="1"/>
  <c r="CE213" i="1"/>
  <c r="CE209" i="1"/>
  <c r="CE205" i="1"/>
  <c r="CE201" i="1"/>
  <c r="CE197" i="1"/>
  <c r="CE193" i="1"/>
  <c r="CE189" i="1"/>
  <c r="CE185" i="1"/>
  <c r="CE181" i="1"/>
  <c r="CE177" i="1"/>
  <c r="CE172" i="1"/>
  <c r="CE169" i="1"/>
  <c r="CG165" i="1"/>
  <c r="CE165" i="1"/>
  <c r="CG161" i="1"/>
  <c r="CE161" i="1"/>
  <c r="CG157" i="1"/>
  <c r="CE157" i="1"/>
  <c r="CG153" i="1"/>
  <c r="CE153" i="1"/>
  <c r="CG149" i="1"/>
  <c r="CE149" i="1"/>
  <c r="CG145" i="1"/>
  <c r="CE145" i="1"/>
  <c r="CG141" i="1"/>
  <c r="CE141" i="1"/>
  <c r="CG137" i="1"/>
  <c r="CE137" i="1"/>
  <c r="CG133" i="1"/>
  <c r="CE133" i="1"/>
  <c r="CG129" i="1"/>
  <c r="CE129" i="1"/>
  <c r="CG125" i="1"/>
  <c r="CE125" i="1"/>
  <c r="CG121" i="1"/>
  <c r="CE121" i="1"/>
  <c r="CG117" i="1"/>
  <c r="CE117" i="1"/>
  <c r="CG113" i="1"/>
  <c r="CE113" i="1"/>
  <c r="CG97" i="1"/>
  <c r="CE97" i="1"/>
  <c r="CG81" i="1"/>
  <c r="CE81" i="1"/>
  <c r="CG65" i="1"/>
  <c r="CE65" i="1"/>
  <c r="CG49" i="1"/>
  <c r="CE49" i="1"/>
  <c r="CG33" i="1"/>
  <c r="CE33" i="1"/>
  <c r="CG17" i="1"/>
  <c r="CE17" i="1"/>
  <c r="CG109" i="1"/>
  <c r="CE109" i="1"/>
  <c r="CG77" i="1"/>
  <c r="CE77" i="1"/>
  <c r="CG45" i="1"/>
  <c r="CE45" i="1"/>
  <c r="CG101" i="1"/>
  <c r="CE101" i="1"/>
  <c r="CG85" i="1"/>
  <c r="CE85" i="1"/>
  <c r="CG69" i="1"/>
  <c r="CE69" i="1"/>
  <c r="CG53" i="1"/>
  <c r="CE53" i="1"/>
  <c r="CG37" i="1"/>
  <c r="CE37" i="1"/>
  <c r="CG21" i="1"/>
  <c r="CE21" i="1"/>
  <c r="CG93" i="1"/>
  <c r="CE93" i="1"/>
  <c r="CG61" i="1"/>
  <c r="CE61" i="1"/>
  <c r="CG29" i="1"/>
  <c r="CE29" i="1"/>
  <c r="CE176" i="1"/>
  <c r="CG174" i="1"/>
  <c r="CG105" i="1"/>
  <c r="CE105" i="1"/>
  <c r="CG89" i="1"/>
  <c r="CE89" i="1"/>
  <c r="CG73" i="1"/>
  <c r="CE73" i="1"/>
  <c r="CG57" i="1"/>
  <c r="CE57" i="1"/>
  <c r="CG41" i="1"/>
  <c r="CE41" i="1"/>
  <c r="CG25" i="1"/>
  <c r="CE25" i="1"/>
  <c r="CG9" i="1"/>
  <c r="CE9" i="1"/>
  <c r="BW209" i="1"/>
  <c r="BW186" i="1"/>
  <c r="BW90" i="1"/>
  <c r="BW70" i="1"/>
  <c r="BW180" i="1"/>
  <c r="BW155" i="1"/>
  <c r="BW6" i="1"/>
  <c r="CE6" i="1"/>
  <c r="DW6" i="1" s="1"/>
  <c r="CG6" i="1"/>
  <c r="EG209" i="1"/>
  <c r="EI209" i="1" s="1"/>
  <c r="EK209" i="1" s="1"/>
  <c r="EG113" i="1"/>
  <c r="EI113" i="1" s="1"/>
  <c r="EK113" i="1" s="1"/>
  <c r="BP186" i="1" a="1"/>
  <c r="BP186" i="1" s="1"/>
  <c r="EG90" i="1"/>
  <c r="BQ7" i="1" a="1"/>
  <c r="BQ7" i="1" s="1"/>
  <c r="BQ8" i="1" a="1"/>
  <c r="BQ8" i="1" s="1"/>
  <c r="BQ9" i="1" a="1"/>
  <c r="BQ9" i="1" s="1"/>
  <c r="BQ10" i="1" a="1"/>
  <c r="BQ10" i="1" s="1"/>
  <c r="BQ11" i="1" a="1"/>
  <c r="BQ11" i="1" s="1"/>
  <c r="BQ12" i="1" a="1"/>
  <c r="BQ12" i="1" s="1"/>
  <c r="BQ13" i="1" a="1"/>
  <c r="BQ13" i="1" s="1"/>
  <c r="BQ14" i="1" a="1"/>
  <c r="BQ14" i="1" s="1"/>
  <c r="BQ15" i="1" a="1"/>
  <c r="BQ15" i="1" s="1"/>
  <c r="BQ16" i="1" a="1"/>
  <c r="BQ16" i="1" s="1"/>
  <c r="BQ17" i="1" a="1"/>
  <c r="BQ17" i="1" s="1"/>
  <c r="BQ18" i="1" a="1"/>
  <c r="BQ18" i="1" s="1"/>
  <c r="BQ90" i="1" a="1"/>
  <c r="BQ90" i="1" s="1"/>
  <c r="BQ20" i="1" a="1"/>
  <c r="BQ20" i="1" s="1"/>
  <c r="BQ21" i="1" a="1"/>
  <c r="BQ21" i="1" s="1"/>
  <c r="BQ22" i="1" a="1"/>
  <c r="BQ22" i="1" s="1"/>
  <c r="BQ23" i="1" a="1"/>
  <c r="BQ23" i="1" s="1"/>
  <c r="BQ24" i="1" a="1"/>
  <c r="BQ24" i="1" s="1"/>
  <c r="BQ25" i="1" a="1"/>
  <c r="BQ25" i="1" s="1"/>
  <c r="BQ26" i="1" a="1"/>
  <c r="BQ26" i="1" s="1"/>
  <c r="BQ27" i="1" a="1"/>
  <c r="BQ27" i="1" s="1"/>
  <c r="BQ28" i="1" a="1"/>
  <c r="BQ28" i="1" s="1"/>
  <c r="BQ29" i="1" a="1"/>
  <c r="BQ29" i="1" s="1"/>
  <c r="BQ30" i="1" a="1"/>
  <c r="BQ30" i="1" s="1"/>
  <c r="BQ31" i="1" a="1"/>
  <c r="BQ31" i="1" s="1"/>
  <c r="BQ32" i="1" a="1"/>
  <c r="BQ32" i="1" s="1"/>
  <c r="BQ33" i="1" a="1"/>
  <c r="BQ33" i="1" s="1"/>
  <c r="BQ34" i="1" a="1"/>
  <c r="BQ34" i="1" s="1"/>
  <c r="BQ35" i="1" a="1"/>
  <c r="BQ35" i="1" s="1"/>
  <c r="BQ36" i="1" a="1"/>
  <c r="BQ36" i="1" s="1"/>
  <c r="BQ37" i="1" a="1"/>
  <c r="BQ37" i="1" s="1"/>
  <c r="BQ38" i="1" a="1"/>
  <c r="BQ38" i="1" s="1"/>
  <c r="BQ39" i="1" a="1"/>
  <c r="BQ39" i="1" s="1"/>
  <c r="BQ40" i="1" a="1"/>
  <c r="BQ40" i="1" s="1"/>
  <c r="BQ41" i="1" a="1"/>
  <c r="BQ41" i="1" s="1"/>
  <c r="BQ42" i="1" a="1"/>
  <c r="BQ42" i="1" s="1"/>
  <c r="BQ43" i="1" a="1"/>
  <c r="BQ43" i="1" s="1"/>
  <c r="BQ44" i="1" a="1"/>
  <c r="BQ44" i="1" s="1"/>
  <c r="BQ45" i="1" a="1"/>
  <c r="BQ45" i="1" s="1"/>
  <c r="BQ46" i="1" a="1"/>
  <c r="BQ46" i="1" s="1"/>
  <c r="BQ47" i="1" a="1"/>
  <c r="BQ47" i="1" s="1"/>
  <c r="BQ48" i="1" a="1"/>
  <c r="BQ48" i="1" s="1"/>
  <c r="BQ49" i="1" a="1"/>
  <c r="BQ49" i="1" s="1"/>
  <c r="BQ50" i="1" a="1"/>
  <c r="BQ50" i="1" s="1"/>
  <c r="BQ51" i="1" a="1"/>
  <c r="BQ51" i="1" s="1"/>
  <c r="BQ52" i="1" a="1"/>
  <c r="BQ52" i="1" s="1"/>
  <c r="BQ53" i="1" a="1"/>
  <c r="BQ53" i="1" s="1"/>
  <c r="BQ54" i="1" a="1"/>
  <c r="BQ54" i="1" s="1"/>
  <c r="BQ55" i="1" a="1"/>
  <c r="BQ55" i="1" s="1"/>
  <c r="BQ56" i="1" a="1"/>
  <c r="BQ56" i="1" s="1"/>
  <c r="BQ57" i="1" a="1"/>
  <c r="BQ57" i="1" s="1"/>
  <c r="BQ58" i="1" a="1"/>
  <c r="BQ58" i="1" s="1"/>
  <c r="BQ59" i="1" a="1"/>
  <c r="BQ59" i="1" s="1"/>
  <c r="BQ60" i="1" a="1"/>
  <c r="BQ60" i="1" s="1"/>
  <c r="BQ61" i="1" a="1"/>
  <c r="BQ61" i="1" s="1"/>
  <c r="BQ62" i="1" a="1"/>
  <c r="BQ62" i="1" s="1"/>
  <c r="BQ63" i="1" a="1"/>
  <c r="BQ63" i="1" s="1"/>
  <c r="BQ64" i="1" a="1"/>
  <c r="BQ64" i="1" s="1"/>
  <c r="BQ65" i="1" a="1"/>
  <c r="BQ65" i="1" s="1"/>
  <c r="BQ66" i="1" a="1"/>
  <c r="BQ66" i="1" s="1"/>
  <c r="BQ121" i="1" a="1"/>
  <c r="BQ121" i="1" s="1"/>
  <c r="BQ68" i="1" a="1"/>
  <c r="BQ68" i="1" s="1"/>
  <c r="BQ69" i="1" a="1"/>
  <c r="BQ69" i="1" s="1"/>
  <c r="BQ155" i="1" a="1"/>
  <c r="BQ155" i="1" s="1"/>
  <c r="BQ71" i="1" a="1"/>
  <c r="BQ71" i="1" s="1"/>
  <c r="BQ72" i="1" a="1"/>
  <c r="BQ72" i="1" s="1"/>
  <c r="BQ73" i="1" a="1"/>
  <c r="BQ73" i="1" s="1"/>
  <c r="BQ74" i="1" a="1"/>
  <c r="BQ74" i="1" s="1"/>
  <c r="BQ75" i="1" a="1"/>
  <c r="BQ75" i="1" s="1"/>
  <c r="BQ76" i="1" a="1"/>
  <c r="BQ76" i="1" s="1"/>
  <c r="BQ77" i="1" a="1"/>
  <c r="BQ77" i="1" s="1"/>
  <c r="BQ78" i="1" a="1"/>
  <c r="BQ78" i="1" s="1"/>
  <c r="BQ79" i="1" a="1"/>
  <c r="BQ79" i="1" s="1"/>
  <c r="BQ80" i="1" a="1"/>
  <c r="BQ80" i="1" s="1"/>
  <c r="BQ81" i="1" a="1"/>
  <c r="BQ81" i="1" s="1"/>
  <c r="BQ82" i="1" a="1"/>
  <c r="BQ82" i="1" s="1"/>
  <c r="BQ83" i="1" a="1"/>
  <c r="BQ83" i="1" s="1"/>
  <c r="BQ84" i="1" a="1"/>
  <c r="BQ84" i="1" s="1"/>
  <c r="BQ85" i="1" a="1"/>
  <c r="BQ85" i="1" s="1"/>
  <c r="BQ86" i="1" a="1"/>
  <c r="BQ86" i="1" s="1"/>
  <c r="BQ87" i="1" a="1"/>
  <c r="BQ87" i="1" s="1"/>
  <c r="BQ88" i="1" a="1"/>
  <c r="BQ88" i="1" s="1"/>
  <c r="BQ114" i="1" a="1"/>
  <c r="BQ114" i="1" s="1"/>
  <c r="BQ186" i="1" a="1"/>
  <c r="BQ186" i="1" s="1"/>
  <c r="BQ91" i="1" a="1"/>
  <c r="BQ91" i="1" s="1"/>
  <c r="BQ92" i="1" a="1"/>
  <c r="BQ92" i="1" s="1"/>
  <c r="BQ93" i="1" a="1"/>
  <c r="BQ93" i="1" s="1"/>
  <c r="BQ94" i="1" a="1"/>
  <c r="BQ94" i="1" s="1"/>
  <c r="BQ95" i="1" a="1"/>
  <c r="BQ95" i="1" s="1"/>
  <c r="BQ96" i="1" a="1"/>
  <c r="BQ96" i="1" s="1"/>
  <c r="BQ97" i="1" a="1"/>
  <c r="BQ97" i="1" s="1"/>
  <c r="BQ98" i="1" a="1"/>
  <c r="BQ98" i="1" s="1"/>
  <c r="BQ99" i="1" a="1"/>
  <c r="BQ99" i="1" s="1"/>
  <c r="BQ100" i="1" a="1"/>
  <c r="BQ100" i="1" s="1"/>
  <c r="BQ101" i="1" a="1"/>
  <c r="BQ101" i="1" s="1"/>
  <c r="BQ102" i="1" a="1"/>
  <c r="BQ102" i="1" s="1"/>
  <c r="BQ103" i="1" a="1"/>
  <c r="BQ103" i="1" s="1"/>
  <c r="BQ104" i="1" a="1"/>
  <c r="BQ104" i="1" s="1"/>
  <c r="BQ105" i="1" a="1"/>
  <c r="BQ105" i="1" s="1"/>
  <c r="BQ106" i="1" a="1"/>
  <c r="BQ106" i="1" s="1"/>
  <c r="BQ107" i="1" a="1"/>
  <c r="BQ107" i="1" s="1"/>
  <c r="BQ108" i="1" a="1"/>
  <c r="BQ108" i="1" s="1"/>
  <c r="BQ109" i="1" a="1"/>
  <c r="BQ109" i="1" s="1"/>
  <c r="BQ110" i="1" a="1"/>
  <c r="BQ110" i="1" s="1"/>
  <c r="BQ111" i="1" a="1"/>
  <c r="BQ111" i="1" s="1"/>
  <c r="BQ112" i="1" a="1"/>
  <c r="BQ112" i="1" s="1"/>
  <c r="BQ113" i="1" a="1"/>
  <c r="BQ113" i="1" s="1"/>
  <c r="BQ153" i="1" a="1"/>
  <c r="BQ153" i="1" s="1"/>
  <c r="BQ115" i="1" a="1"/>
  <c r="BQ115" i="1" s="1"/>
  <c r="BQ116" i="1" a="1"/>
  <c r="BQ116" i="1" s="1"/>
  <c r="BQ117" i="1" a="1"/>
  <c r="BQ117" i="1" s="1"/>
  <c r="BQ118" i="1" a="1"/>
  <c r="BQ118" i="1" s="1"/>
  <c r="BQ119" i="1" a="1"/>
  <c r="BQ119" i="1" s="1"/>
  <c r="BQ67" i="1" a="1"/>
  <c r="BQ67" i="1" s="1"/>
  <c r="BQ70" i="1" a="1"/>
  <c r="BQ70" i="1" s="1"/>
  <c r="BQ122" i="1" a="1"/>
  <c r="BQ122" i="1" s="1"/>
  <c r="BQ123" i="1" a="1"/>
  <c r="BQ123" i="1" s="1"/>
  <c r="BQ124" i="1" a="1"/>
  <c r="BQ124" i="1" s="1"/>
  <c r="BQ125" i="1" a="1"/>
  <c r="BQ125" i="1" s="1"/>
  <c r="BQ126" i="1" a="1"/>
  <c r="BQ126" i="1" s="1"/>
  <c r="BQ127" i="1" a="1"/>
  <c r="BQ127" i="1" s="1"/>
  <c r="BQ128" i="1" a="1"/>
  <c r="BQ128" i="1" s="1"/>
  <c r="BQ129" i="1" a="1"/>
  <c r="BQ129" i="1" s="1"/>
  <c r="BQ130" i="1" a="1"/>
  <c r="BQ130" i="1" s="1"/>
  <c r="BQ131" i="1" a="1"/>
  <c r="BQ131" i="1" s="1"/>
  <c r="BQ132" i="1" a="1"/>
  <c r="BQ132" i="1" s="1"/>
  <c r="BQ133" i="1" a="1"/>
  <c r="BQ133" i="1" s="1"/>
  <c r="BQ134" i="1" a="1"/>
  <c r="BQ134" i="1" s="1"/>
  <c r="BQ135" i="1" a="1"/>
  <c r="BQ135" i="1" s="1"/>
  <c r="BQ136" i="1" a="1"/>
  <c r="BQ136" i="1" s="1"/>
  <c r="BQ137" i="1" a="1"/>
  <c r="BQ137" i="1" s="1"/>
  <c r="BQ138" i="1" a="1"/>
  <c r="BQ138" i="1" s="1"/>
  <c r="BQ139" i="1" a="1"/>
  <c r="BQ139" i="1" s="1"/>
  <c r="BQ140" i="1" a="1"/>
  <c r="BQ140" i="1" s="1"/>
  <c r="BQ141" i="1" a="1"/>
  <c r="BQ141" i="1" s="1"/>
  <c r="BQ142" i="1" a="1"/>
  <c r="BQ142" i="1" s="1"/>
  <c r="BQ143" i="1" a="1"/>
  <c r="BQ143" i="1" s="1"/>
  <c r="BQ144" i="1" a="1"/>
  <c r="BQ144" i="1" s="1"/>
  <c r="BQ145" i="1" a="1"/>
  <c r="BQ145" i="1" s="1"/>
  <c r="BQ146" i="1" a="1"/>
  <c r="BQ146" i="1" s="1"/>
  <c r="BQ147" i="1" a="1"/>
  <c r="BQ147" i="1" s="1"/>
  <c r="BQ148" i="1" a="1"/>
  <c r="BQ148" i="1" s="1"/>
  <c r="BQ149" i="1" a="1"/>
  <c r="BQ149" i="1" s="1"/>
  <c r="BQ150" i="1" a="1"/>
  <c r="BQ150" i="1" s="1"/>
  <c r="BQ151" i="1" a="1"/>
  <c r="BQ151" i="1" s="1"/>
  <c r="BQ152" i="1" a="1"/>
  <c r="BQ152" i="1" s="1"/>
  <c r="BQ120" i="1" a="1"/>
  <c r="BQ120" i="1" s="1"/>
  <c r="BQ154" i="1" a="1"/>
  <c r="BQ154" i="1" s="1"/>
  <c r="BQ89" i="1" a="1"/>
  <c r="BQ89" i="1" s="1"/>
  <c r="BQ156" i="1" a="1"/>
  <c r="BQ156" i="1" s="1"/>
  <c r="BQ157" i="1" a="1"/>
  <c r="BQ157" i="1" s="1"/>
  <c r="BQ158" i="1" a="1"/>
  <c r="BQ158" i="1" s="1"/>
  <c r="BQ159" i="1" a="1"/>
  <c r="BQ159" i="1" s="1"/>
  <c r="BQ160" i="1" a="1"/>
  <c r="BQ160" i="1" s="1"/>
  <c r="BQ161" i="1" a="1"/>
  <c r="BQ161" i="1" s="1"/>
  <c r="BQ162" i="1" a="1"/>
  <c r="BQ162" i="1" s="1"/>
  <c r="BQ163" i="1" a="1"/>
  <c r="BQ163" i="1" s="1"/>
  <c r="BQ164" i="1" a="1"/>
  <c r="BQ164" i="1" s="1"/>
  <c r="BQ165" i="1" a="1"/>
  <c r="BQ165" i="1" s="1"/>
  <c r="BQ166" i="1" a="1"/>
  <c r="BQ166" i="1" s="1"/>
  <c r="BQ167" i="1" a="1"/>
  <c r="BQ167" i="1" s="1"/>
  <c r="BQ168" i="1" a="1"/>
  <c r="BQ168" i="1" s="1"/>
  <c r="BQ169" i="1" a="1"/>
  <c r="BQ169" i="1" s="1"/>
  <c r="BQ170" i="1" a="1"/>
  <c r="BQ170" i="1" s="1"/>
  <c r="BQ171" i="1" a="1"/>
  <c r="BQ171" i="1" s="1"/>
  <c r="BQ172" i="1" a="1"/>
  <c r="BQ172" i="1" s="1"/>
  <c r="BQ173" i="1" a="1"/>
  <c r="BQ173" i="1" s="1"/>
  <c r="BQ174" i="1" a="1"/>
  <c r="BQ174" i="1" s="1"/>
  <c r="BQ175" i="1" a="1"/>
  <c r="BQ175" i="1" s="1"/>
  <c r="BQ176" i="1" a="1"/>
  <c r="BQ176" i="1" s="1"/>
  <c r="BQ177" i="1" a="1"/>
  <c r="BQ177" i="1" s="1"/>
  <c r="BQ178" i="1" a="1"/>
  <c r="BQ178" i="1" s="1"/>
  <c r="BQ179" i="1" a="1"/>
  <c r="BQ179" i="1" s="1"/>
  <c r="BQ180" i="1" a="1"/>
  <c r="BQ180" i="1" s="1"/>
  <c r="BQ181" i="1" a="1"/>
  <c r="BQ181" i="1" s="1"/>
  <c r="BQ182" i="1" a="1"/>
  <c r="BQ182" i="1" s="1"/>
  <c r="BQ183" i="1" a="1"/>
  <c r="BQ183" i="1" s="1"/>
  <c r="BQ184" i="1" a="1"/>
  <c r="BQ184" i="1" s="1"/>
  <c r="BQ185" i="1" a="1"/>
  <c r="BQ185" i="1" s="1"/>
  <c r="BQ19" i="1" a="1"/>
  <c r="BQ19" i="1" s="1"/>
  <c r="BQ187" i="1" a="1"/>
  <c r="BQ187" i="1" s="1"/>
  <c r="BQ188" i="1" a="1"/>
  <c r="BQ188" i="1" s="1"/>
  <c r="BQ189" i="1" a="1"/>
  <c r="BQ189" i="1" s="1"/>
  <c r="BQ190" i="1" a="1"/>
  <c r="BQ190" i="1" s="1"/>
  <c r="BQ191" i="1" a="1"/>
  <c r="BQ191" i="1" s="1"/>
  <c r="BQ192" i="1" a="1"/>
  <c r="BQ192" i="1" s="1"/>
  <c r="BQ193" i="1" a="1"/>
  <c r="BQ193" i="1" s="1"/>
  <c r="BQ194" i="1" a="1"/>
  <c r="BQ194" i="1" s="1"/>
  <c r="BQ195" i="1" a="1"/>
  <c r="BQ195" i="1" s="1"/>
  <c r="BQ196" i="1" a="1"/>
  <c r="BQ196" i="1" s="1"/>
  <c r="BQ197" i="1" a="1"/>
  <c r="BQ197" i="1" s="1"/>
  <c r="BQ198" i="1" a="1"/>
  <c r="BQ198" i="1" s="1"/>
  <c r="BQ199" i="1" a="1"/>
  <c r="BQ199" i="1" s="1"/>
  <c r="BQ200" i="1" a="1"/>
  <c r="BQ200" i="1" s="1"/>
  <c r="BQ201" i="1" a="1"/>
  <c r="BQ201" i="1" s="1"/>
  <c r="BQ202" i="1" a="1"/>
  <c r="BQ202" i="1" s="1"/>
  <c r="BQ203" i="1" a="1"/>
  <c r="BQ203" i="1" s="1"/>
  <c r="BQ204" i="1" a="1"/>
  <c r="BQ204" i="1" s="1"/>
  <c r="BQ205" i="1" a="1"/>
  <c r="BQ205" i="1" s="1"/>
  <c r="BQ206" i="1" a="1"/>
  <c r="BQ206" i="1" s="1"/>
  <c r="BQ207" i="1" a="1"/>
  <c r="BQ207" i="1" s="1"/>
  <c r="BQ208" i="1" a="1"/>
  <c r="BQ208" i="1" s="1"/>
  <c r="BQ209" i="1" a="1"/>
  <c r="BQ209" i="1" s="1"/>
  <c r="BQ210" i="1" a="1"/>
  <c r="BQ210" i="1" s="1"/>
  <c r="BQ211" i="1" a="1"/>
  <c r="BQ211" i="1" s="1"/>
  <c r="BQ212" i="1" a="1"/>
  <c r="BQ212" i="1" s="1"/>
  <c r="BQ213" i="1" a="1"/>
  <c r="BQ213" i="1" s="1"/>
  <c r="BQ214" i="1" a="1"/>
  <c r="BQ214" i="1" s="1"/>
  <c r="BQ215" i="1" a="1"/>
  <c r="BQ215" i="1" s="1"/>
  <c r="BQ216" i="1" a="1"/>
  <c r="BQ216" i="1" s="1"/>
  <c r="BQ217" i="1" a="1"/>
  <c r="BQ217" i="1" s="1"/>
  <c r="BQ218" i="1" a="1"/>
  <c r="BQ218" i="1" s="1"/>
  <c r="BQ219" i="1" a="1"/>
  <c r="BQ219" i="1" s="1"/>
  <c r="BQ220" i="1" a="1"/>
  <c r="BQ220" i="1" s="1"/>
  <c r="BQ221" i="1" a="1"/>
  <c r="BQ221" i="1" s="1"/>
  <c r="BQ222" i="1" a="1"/>
  <c r="BQ222" i="1" s="1"/>
  <c r="BQ223" i="1" a="1"/>
  <c r="BQ223" i="1" s="1"/>
  <c r="BQ224" i="1" a="1"/>
  <c r="BQ224" i="1" s="1"/>
  <c r="BQ225" i="1" a="1"/>
  <c r="BQ225" i="1" s="1"/>
  <c r="BQ226" i="1" a="1"/>
  <c r="BQ226" i="1" s="1"/>
  <c r="BQ227" i="1" a="1"/>
  <c r="BQ227" i="1" s="1"/>
  <c r="BQ228" i="1" a="1"/>
  <c r="BQ228" i="1" s="1"/>
  <c r="BQ229" i="1" a="1"/>
  <c r="BQ229" i="1" s="1"/>
  <c r="BQ230" i="1" a="1"/>
  <c r="BQ230" i="1" s="1"/>
  <c r="BQ231" i="1" a="1"/>
  <c r="BQ231" i="1" s="1"/>
  <c r="BQ232" i="1" a="1"/>
  <c r="BQ232" i="1" s="1"/>
  <c r="BQ233" i="1" a="1"/>
  <c r="BQ233" i="1" s="1"/>
  <c r="BQ234" i="1" a="1"/>
  <c r="BQ234" i="1" s="1"/>
  <c r="BQ235" i="1" a="1"/>
  <c r="BQ235" i="1" s="1"/>
  <c r="BQ236" i="1" a="1"/>
  <c r="BQ236" i="1" s="1"/>
  <c r="BQ237" i="1" a="1"/>
  <c r="BQ237" i="1" s="1"/>
  <c r="BQ238" i="1" a="1"/>
  <c r="BQ238" i="1" s="1"/>
  <c r="BQ239" i="1" a="1"/>
  <c r="BQ239" i="1" s="1"/>
  <c r="BQ240" i="1" a="1"/>
  <c r="BQ240" i="1" s="1"/>
  <c r="BQ241" i="1" a="1"/>
  <c r="BQ241" i="1" s="1"/>
  <c r="BQ242" i="1" a="1"/>
  <c r="BQ242" i="1" s="1"/>
  <c r="BQ243" i="1" a="1"/>
  <c r="BQ243" i="1" s="1"/>
  <c r="BQ244" i="1" a="1"/>
  <c r="BQ244" i="1" s="1"/>
  <c r="BQ245" i="1" a="1"/>
  <c r="BQ245" i="1" s="1"/>
  <c r="BQ246" i="1" a="1"/>
  <c r="BQ246" i="1" s="1"/>
  <c r="BQ247" i="1" a="1"/>
  <c r="BQ247" i="1" s="1"/>
  <c r="BQ248" i="1" a="1"/>
  <c r="BQ248" i="1" s="1"/>
  <c r="BQ249" i="1" a="1"/>
  <c r="BQ249" i="1" s="1"/>
  <c r="BQ250" i="1" a="1"/>
  <c r="BQ250" i="1" s="1"/>
  <c r="BQ251" i="1" a="1"/>
  <c r="BQ251" i="1" s="1"/>
  <c r="BQ252" i="1" a="1"/>
  <c r="BQ252" i="1" s="1"/>
  <c r="BQ253" i="1" a="1"/>
  <c r="BQ253" i="1" s="1"/>
  <c r="BQ254" i="1" a="1"/>
  <c r="BQ254" i="1" s="1"/>
  <c r="BQ255" i="1" a="1"/>
  <c r="BQ255" i="1" s="1"/>
  <c r="BQ256" i="1" a="1"/>
  <c r="BQ256" i="1" s="1"/>
  <c r="BQ257" i="1" a="1"/>
  <c r="BQ257" i="1" s="1"/>
  <c r="BQ258" i="1" a="1"/>
  <c r="BQ258" i="1" s="1"/>
  <c r="BQ259" i="1" a="1"/>
  <c r="BQ259" i="1" s="1"/>
  <c r="BQ260" i="1" a="1"/>
  <c r="BQ260" i="1" s="1"/>
  <c r="BQ261" i="1" a="1"/>
  <c r="BQ261" i="1" s="1"/>
  <c r="BQ262" i="1" a="1"/>
  <c r="BQ262" i="1" s="1"/>
  <c r="BQ263" i="1" a="1"/>
  <c r="BQ263" i="1" s="1"/>
  <c r="BQ264" i="1" a="1"/>
  <c r="BQ264" i="1" s="1"/>
  <c r="BQ265" i="1" a="1"/>
  <c r="BQ265" i="1" s="1"/>
  <c r="BQ266" i="1" a="1"/>
  <c r="BQ266" i="1" s="1"/>
  <c r="BQ267" i="1" a="1"/>
  <c r="BQ267" i="1" s="1"/>
  <c r="BQ268" i="1" a="1"/>
  <c r="BQ268" i="1" s="1"/>
  <c r="BQ269" i="1" a="1"/>
  <c r="BQ269" i="1" s="1"/>
  <c r="BQ270" i="1" a="1"/>
  <c r="BQ270" i="1" s="1"/>
  <c r="BQ271" i="1" a="1"/>
  <c r="BQ271" i="1" s="1"/>
  <c r="BQ6" i="1" a="1"/>
  <c r="BQ6" i="1" s="1"/>
  <c r="BL238" i="1" a="1"/>
  <c r="BL238" i="1" s="1"/>
  <c r="BY238" i="1" s="1"/>
  <c r="BL8" i="1" a="1"/>
  <c r="BL8" i="1" s="1"/>
  <c r="BY8" i="1" s="1"/>
  <c r="BL245" i="1" a="1"/>
  <c r="BL245" i="1" s="1"/>
  <c r="BY245" i="1" s="1"/>
  <c r="BL121" i="1" a="1"/>
  <c r="BL121" i="1" s="1"/>
  <c r="BY121" i="1" s="1"/>
  <c r="BL14" i="1" a="1"/>
  <c r="BL14" i="1" s="1"/>
  <c r="BY14" i="1" s="1"/>
  <c r="EG6" i="1"/>
  <c r="EI6" i="1" s="1"/>
  <c r="EK6" i="1" s="1"/>
  <c r="BL7" i="1" a="1"/>
  <c r="BL7" i="1" s="1"/>
  <c r="BY7" i="1" s="1"/>
  <c r="BL22" i="1" a="1"/>
  <c r="BL22" i="1" s="1"/>
  <c r="BY22" i="1" s="1"/>
  <c r="BR6" i="1" a="1"/>
  <c r="BR6" i="1" s="1"/>
  <c r="BR7" i="1" a="1"/>
  <c r="BR7" i="1" s="1"/>
  <c r="BR8" i="1" a="1"/>
  <c r="BR8" i="1" s="1"/>
  <c r="BR9" i="1" a="1"/>
  <c r="BR9" i="1" s="1"/>
  <c r="BR10" i="1" a="1"/>
  <c r="BR10" i="1" s="1"/>
  <c r="BR11" i="1" a="1"/>
  <c r="BR11" i="1" s="1"/>
  <c r="BR12" i="1" a="1"/>
  <c r="BR12" i="1" s="1"/>
  <c r="BR13" i="1" a="1"/>
  <c r="BR13" i="1" s="1"/>
  <c r="BR186" i="1" a="1"/>
  <c r="BR186" i="1" s="1"/>
  <c r="BR15" i="1" a="1"/>
  <c r="BR15" i="1" s="1"/>
  <c r="BR16" i="1" a="1"/>
  <c r="BR16" i="1" s="1"/>
  <c r="BR17" i="1" a="1"/>
  <c r="BR17" i="1" s="1"/>
  <c r="BR18" i="1" a="1"/>
  <c r="BR18" i="1" s="1"/>
  <c r="BR90" i="1" a="1"/>
  <c r="BR90" i="1" s="1"/>
  <c r="BR20" i="1" a="1"/>
  <c r="BR20" i="1" s="1"/>
  <c r="BR21" i="1" a="1"/>
  <c r="BR21" i="1" s="1"/>
  <c r="BR22" i="1" a="1"/>
  <c r="BR22" i="1" s="1"/>
  <c r="BR23" i="1" a="1"/>
  <c r="BR23" i="1" s="1"/>
  <c r="BR24" i="1" a="1"/>
  <c r="BR24" i="1" s="1"/>
  <c r="BR25" i="1" a="1"/>
  <c r="BR25" i="1" s="1"/>
  <c r="BR26" i="1" a="1"/>
  <c r="BR26" i="1" s="1"/>
  <c r="BR27" i="1" a="1"/>
  <c r="BR27" i="1" s="1"/>
  <c r="BR28" i="1" a="1"/>
  <c r="BR28" i="1" s="1"/>
  <c r="BR29" i="1" a="1"/>
  <c r="BR29" i="1" s="1"/>
  <c r="BR30" i="1" a="1"/>
  <c r="BR30" i="1" s="1"/>
  <c r="BR31" i="1" a="1"/>
  <c r="BR31" i="1" s="1"/>
  <c r="BR32" i="1" a="1"/>
  <c r="BR32" i="1" s="1"/>
  <c r="BR33" i="1" a="1"/>
  <c r="BR33" i="1" s="1"/>
  <c r="BR34" i="1" a="1"/>
  <c r="BR34" i="1" s="1"/>
  <c r="BR209" i="1" a="1"/>
  <c r="BR209" i="1" s="1"/>
  <c r="BR36" i="1" a="1"/>
  <c r="BR36" i="1" s="1"/>
  <c r="BR37" i="1" a="1"/>
  <c r="BR37" i="1" s="1"/>
  <c r="BR38" i="1" a="1"/>
  <c r="BR38" i="1" s="1"/>
  <c r="BR39" i="1" a="1"/>
  <c r="BR39" i="1" s="1"/>
  <c r="BR40" i="1" a="1"/>
  <c r="BR40" i="1" s="1"/>
  <c r="BR41" i="1" a="1"/>
  <c r="BR41" i="1" s="1"/>
  <c r="BR42" i="1" a="1"/>
  <c r="BR42" i="1" s="1"/>
  <c r="BR43" i="1" a="1"/>
  <c r="BR43" i="1" s="1"/>
  <c r="BR44" i="1" a="1"/>
  <c r="BR44" i="1" s="1"/>
  <c r="BR45" i="1" a="1"/>
  <c r="BR45" i="1" s="1"/>
  <c r="BR46" i="1" a="1"/>
  <c r="BR46" i="1" s="1"/>
  <c r="BR47" i="1" a="1"/>
  <c r="BR47" i="1" s="1"/>
  <c r="BR48" i="1" a="1"/>
  <c r="BR48" i="1" s="1"/>
  <c r="BR49" i="1" a="1"/>
  <c r="BR49" i="1" s="1"/>
  <c r="BR50" i="1" a="1"/>
  <c r="BR50" i="1" s="1"/>
  <c r="BR51" i="1" a="1"/>
  <c r="BR51" i="1" s="1"/>
  <c r="BR52" i="1" a="1"/>
  <c r="BR52" i="1" s="1"/>
  <c r="BR53" i="1" a="1"/>
  <c r="BR53" i="1" s="1"/>
  <c r="BR54" i="1" a="1"/>
  <c r="BR54" i="1" s="1"/>
  <c r="BR55" i="1" a="1"/>
  <c r="BR55" i="1" s="1"/>
  <c r="BR56" i="1" a="1"/>
  <c r="BR56" i="1" s="1"/>
  <c r="BR57" i="1" a="1"/>
  <c r="BR57" i="1" s="1"/>
  <c r="BR58" i="1" a="1"/>
  <c r="BR58" i="1" s="1"/>
  <c r="BR59" i="1" a="1"/>
  <c r="BR59" i="1" s="1"/>
  <c r="BR60" i="1" a="1"/>
  <c r="BR60" i="1" s="1"/>
  <c r="BR61" i="1" a="1"/>
  <c r="BR61" i="1" s="1"/>
  <c r="BR62" i="1" a="1"/>
  <c r="BR62" i="1" s="1"/>
  <c r="BR63" i="1" a="1"/>
  <c r="BR63" i="1" s="1"/>
  <c r="BR64" i="1" a="1"/>
  <c r="BR64" i="1" s="1"/>
  <c r="BR127" i="1" a="1"/>
  <c r="BR127" i="1" s="1"/>
  <c r="BR66" i="1" a="1"/>
  <c r="BR66" i="1" s="1"/>
  <c r="BR121" i="1" a="1"/>
  <c r="BR121" i="1" s="1"/>
  <c r="BR68" i="1" a="1"/>
  <c r="BR68" i="1" s="1"/>
  <c r="BR69" i="1" a="1"/>
  <c r="BR69" i="1" s="1"/>
  <c r="BR184" i="1" a="1"/>
  <c r="BR184" i="1" s="1"/>
  <c r="BR71" i="1" a="1"/>
  <c r="BR71" i="1" s="1"/>
  <c r="BR72" i="1" a="1"/>
  <c r="BR72" i="1" s="1"/>
  <c r="BR73" i="1" a="1"/>
  <c r="BR73" i="1" s="1"/>
  <c r="BR74" i="1" a="1"/>
  <c r="BR74" i="1" s="1"/>
  <c r="BR75" i="1" a="1"/>
  <c r="BR75" i="1" s="1"/>
  <c r="BR76" i="1" a="1"/>
  <c r="BR76" i="1" s="1"/>
  <c r="BR77" i="1" a="1"/>
  <c r="BR77" i="1" s="1"/>
  <c r="BR78" i="1" a="1"/>
  <c r="BR78" i="1" s="1"/>
  <c r="BR79" i="1" a="1"/>
  <c r="BR79" i="1" s="1"/>
  <c r="BR80" i="1" a="1"/>
  <c r="BR80" i="1" s="1"/>
  <c r="BR81" i="1" a="1"/>
  <c r="BR81" i="1" s="1"/>
  <c r="BR82" i="1" a="1"/>
  <c r="BR82" i="1" s="1"/>
  <c r="BR83" i="1" a="1"/>
  <c r="BR83" i="1" s="1"/>
  <c r="BR84" i="1" a="1"/>
  <c r="BR84" i="1" s="1"/>
  <c r="BR85" i="1" a="1"/>
  <c r="BR85" i="1" s="1"/>
  <c r="BR86" i="1" a="1"/>
  <c r="BR86" i="1" s="1"/>
  <c r="BR87" i="1" a="1"/>
  <c r="BR87" i="1" s="1"/>
  <c r="BR88" i="1" a="1"/>
  <c r="BR88" i="1" s="1"/>
  <c r="BR124" i="1" a="1"/>
  <c r="BR124" i="1" s="1"/>
  <c r="BR163" i="1" a="1"/>
  <c r="BR163" i="1" s="1"/>
  <c r="BR91" i="1" a="1"/>
  <c r="BR91" i="1" s="1"/>
  <c r="BR180" i="1" a="1"/>
  <c r="BR180" i="1" s="1"/>
  <c r="BR93" i="1" a="1"/>
  <c r="BR93" i="1" s="1"/>
  <c r="BR94" i="1" a="1"/>
  <c r="BR94" i="1" s="1"/>
  <c r="BR95" i="1" a="1"/>
  <c r="BR95" i="1" s="1"/>
  <c r="BR96" i="1" a="1"/>
  <c r="BR96" i="1" s="1"/>
  <c r="BR97" i="1" a="1"/>
  <c r="BR97" i="1" s="1"/>
  <c r="BR98" i="1" a="1"/>
  <c r="BR98" i="1" s="1"/>
  <c r="BR99" i="1" a="1"/>
  <c r="BR99" i="1" s="1"/>
  <c r="BR100" i="1" a="1"/>
  <c r="BR100" i="1" s="1"/>
  <c r="BR101" i="1" a="1"/>
  <c r="BR101" i="1" s="1"/>
  <c r="BR102" i="1" a="1"/>
  <c r="BR102" i="1" s="1"/>
  <c r="BR103" i="1" a="1"/>
  <c r="BR103" i="1" s="1"/>
  <c r="BR104" i="1" a="1"/>
  <c r="BR104" i="1" s="1"/>
  <c r="BR105" i="1" a="1"/>
  <c r="BR105" i="1" s="1"/>
  <c r="BR106" i="1" a="1"/>
  <c r="BR106" i="1" s="1"/>
  <c r="BR107" i="1" a="1"/>
  <c r="BR107" i="1" s="1"/>
  <c r="BR108" i="1" a="1"/>
  <c r="BR108" i="1" s="1"/>
  <c r="BR109" i="1" a="1"/>
  <c r="BR109" i="1" s="1"/>
  <c r="BR110" i="1" a="1"/>
  <c r="BR110" i="1" s="1"/>
  <c r="BR111" i="1" a="1"/>
  <c r="BR111" i="1" s="1"/>
  <c r="BR112" i="1" a="1"/>
  <c r="BR112" i="1" s="1"/>
  <c r="BR113" i="1" a="1"/>
  <c r="BR113" i="1" s="1"/>
  <c r="BR89" i="1" a="1"/>
  <c r="BR89" i="1" s="1"/>
  <c r="BR115" i="1" a="1"/>
  <c r="BR115" i="1" s="1"/>
  <c r="BR116" i="1" a="1"/>
  <c r="BR116" i="1" s="1"/>
  <c r="BR117" i="1" a="1"/>
  <c r="BR117" i="1" s="1"/>
  <c r="BR118" i="1" a="1"/>
  <c r="BR118" i="1" s="1"/>
  <c r="BR119" i="1" a="1"/>
  <c r="BR119" i="1" s="1"/>
  <c r="BR67" i="1" a="1"/>
  <c r="BR67" i="1" s="1"/>
  <c r="BR70" i="1" a="1"/>
  <c r="BR70" i="1" s="1"/>
  <c r="BR122" i="1" a="1"/>
  <c r="BR122" i="1" s="1"/>
  <c r="BR123" i="1" a="1"/>
  <c r="BR123" i="1" s="1"/>
  <c r="BR153" i="1" a="1"/>
  <c r="BR153" i="1" s="1"/>
  <c r="BR125" i="1" a="1"/>
  <c r="BR125" i="1" s="1"/>
  <c r="BR126" i="1" a="1"/>
  <c r="BR126" i="1" s="1"/>
  <c r="BR14" i="1" a="1"/>
  <c r="BR14" i="1" s="1"/>
  <c r="BR128" i="1" a="1"/>
  <c r="BR128" i="1" s="1"/>
  <c r="BR129" i="1" a="1"/>
  <c r="BR129" i="1" s="1"/>
  <c r="BR130" i="1" a="1"/>
  <c r="BR130" i="1" s="1"/>
  <c r="BR131" i="1" a="1"/>
  <c r="BR131" i="1" s="1"/>
  <c r="BR132" i="1" a="1"/>
  <c r="BR132" i="1" s="1"/>
  <c r="BR133" i="1" a="1"/>
  <c r="BR133" i="1" s="1"/>
  <c r="BR134" i="1" a="1"/>
  <c r="BR134" i="1" s="1"/>
  <c r="BR135" i="1" a="1"/>
  <c r="BR135" i="1" s="1"/>
  <c r="BR136" i="1" a="1"/>
  <c r="BR136" i="1" s="1"/>
  <c r="BR137" i="1" a="1"/>
  <c r="BR137" i="1" s="1"/>
  <c r="BR138" i="1" a="1"/>
  <c r="BR138" i="1" s="1"/>
  <c r="BR139" i="1" a="1"/>
  <c r="BR139" i="1" s="1"/>
  <c r="BR140" i="1" a="1"/>
  <c r="BR140" i="1" s="1"/>
  <c r="BR141" i="1" a="1"/>
  <c r="BR141" i="1" s="1"/>
  <c r="BR142" i="1" a="1"/>
  <c r="BR142" i="1" s="1"/>
  <c r="BR143" i="1" a="1"/>
  <c r="BR143" i="1" s="1"/>
  <c r="BR144" i="1" a="1"/>
  <c r="BR144" i="1" s="1"/>
  <c r="BR145" i="1" a="1"/>
  <c r="BR145" i="1" s="1"/>
  <c r="BR146" i="1" a="1"/>
  <c r="BR146" i="1" s="1"/>
  <c r="BR147" i="1" a="1"/>
  <c r="BR147" i="1" s="1"/>
  <c r="BR148" i="1" a="1"/>
  <c r="BR148" i="1" s="1"/>
  <c r="BR149" i="1" a="1"/>
  <c r="BR149" i="1" s="1"/>
  <c r="BR150" i="1" a="1"/>
  <c r="BR150" i="1" s="1"/>
  <c r="BR151" i="1" a="1"/>
  <c r="BR151" i="1" s="1"/>
  <c r="BR152" i="1" a="1"/>
  <c r="BR152" i="1" s="1"/>
  <c r="BR120" i="1" a="1"/>
  <c r="BR120" i="1" s="1"/>
  <c r="BR154" i="1" a="1"/>
  <c r="BR154" i="1" s="1"/>
  <c r="BR92" i="1" a="1"/>
  <c r="BR92" i="1" s="1"/>
  <c r="BR156" i="1" a="1"/>
  <c r="BR156" i="1" s="1"/>
  <c r="BR157" i="1" a="1"/>
  <c r="BR157" i="1" s="1"/>
  <c r="BR158" i="1" a="1"/>
  <c r="BR158" i="1" s="1"/>
  <c r="BR159" i="1" a="1"/>
  <c r="BR159" i="1" s="1"/>
  <c r="BR160" i="1" a="1"/>
  <c r="BR160" i="1" s="1"/>
  <c r="BR161" i="1" a="1"/>
  <c r="BR161" i="1" s="1"/>
  <c r="BR162" i="1" a="1"/>
  <c r="BR162" i="1" s="1"/>
  <c r="BR65" i="1" a="1"/>
  <c r="BR65" i="1" s="1"/>
  <c r="BR164" i="1" a="1"/>
  <c r="BR164" i="1" s="1"/>
  <c r="BR165" i="1" a="1"/>
  <c r="BR165" i="1" s="1"/>
  <c r="BR166" i="1" a="1"/>
  <c r="BR166" i="1" s="1"/>
  <c r="BR167" i="1" a="1"/>
  <c r="BR167" i="1" s="1"/>
  <c r="BR168" i="1" a="1"/>
  <c r="BR168" i="1" s="1"/>
  <c r="BR169" i="1" a="1"/>
  <c r="BR169" i="1" s="1"/>
  <c r="BR170" i="1" a="1"/>
  <c r="BR170" i="1" s="1"/>
  <c r="BR171" i="1" a="1"/>
  <c r="BR171" i="1" s="1"/>
  <c r="BR172" i="1" a="1"/>
  <c r="BR172" i="1" s="1"/>
  <c r="BR173" i="1" a="1"/>
  <c r="BR173" i="1" s="1"/>
  <c r="BR174" i="1" a="1"/>
  <c r="BR174" i="1" s="1"/>
  <c r="BR175" i="1" a="1"/>
  <c r="BR175" i="1" s="1"/>
  <c r="BR176" i="1" a="1"/>
  <c r="BR176" i="1" s="1"/>
  <c r="BR177" i="1" a="1"/>
  <c r="BR177" i="1" s="1"/>
  <c r="BR178" i="1" a="1"/>
  <c r="BR178" i="1" s="1"/>
  <c r="BR179" i="1" a="1"/>
  <c r="BR179" i="1" s="1"/>
  <c r="BR155" i="1" a="1"/>
  <c r="BR155" i="1" s="1"/>
  <c r="BR181" i="1" a="1"/>
  <c r="BR181" i="1" s="1"/>
  <c r="BR182" i="1" a="1"/>
  <c r="BR182" i="1" s="1"/>
  <c r="BR183" i="1" a="1"/>
  <c r="BR183" i="1" s="1"/>
  <c r="BR191" i="1" a="1"/>
  <c r="BR191" i="1" s="1"/>
  <c r="BR185" i="1" a="1"/>
  <c r="BR185" i="1" s="1"/>
  <c r="BR19" i="1" a="1"/>
  <c r="BR19" i="1" s="1"/>
  <c r="BR187" i="1" a="1"/>
  <c r="BR187" i="1" s="1"/>
  <c r="BR188" i="1" a="1"/>
  <c r="BR188" i="1" s="1"/>
  <c r="BR189" i="1" a="1"/>
  <c r="BR189" i="1" s="1"/>
  <c r="BR190" i="1" a="1"/>
  <c r="BR190" i="1" s="1"/>
  <c r="BR35" i="1" a="1"/>
  <c r="BR35" i="1" s="1"/>
  <c r="BR192" i="1" a="1"/>
  <c r="BR192" i="1" s="1"/>
  <c r="BR193" i="1" a="1"/>
  <c r="BR193" i="1" s="1"/>
  <c r="BR194" i="1" a="1"/>
  <c r="BR194" i="1" s="1"/>
  <c r="BR195" i="1" a="1"/>
  <c r="BR195" i="1" s="1"/>
  <c r="BR196" i="1" a="1"/>
  <c r="BR196" i="1" s="1"/>
  <c r="BR197" i="1" a="1"/>
  <c r="BR197" i="1" s="1"/>
  <c r="BR198" i="1" a="1"/>
  <c r="BR198" i="1" s="1"/>
  <c r="BR199" i="1" a="1"/>
  <c r="BR199" i="1" s="1"/>
  <c r="BR200" i="1" a="1"/>
  <c r="BR200" i="1" s="1"/>
  <c r="BR201" i="1" a="1"/>
  <c r="BR201" i="1" s="1"/>
  <c r="BR255" i="1" a="1"/>
  <c r="BR255" i="1" s="1"/>
  <c r="BR203" i="1" a="1"/>
  <c r="BR203" i="1" s="1"/>
  <c r="BR204" i="1" a="1"/>
  <c r="BR204" i="1" s="1"/>
  <c r="BR205" i="1" a="1"/>
  <c r="BR205" i="1" s="1"/>
  <c r="BR206" i="1" a="1"/>
  <c r="BR206" i="1" s="1"/>
  <c r="BR207" i="1" a="1"/>
  <c r="BR207" i="1" s="1"/>
  <c r="BR208" i="1" a="1"/>
  <c r="BR208" i="1" s="1"/>
  <c r="BR114" i="1" a="1"/>
  <c r="BR114" i="1" s="1"/>
  <c r="BR210" i="1" a="1"/>
  <c r="BR210" i="1" s="1"/>
  <c r="BR211" i="1" a="1"/>
  <c r="BR211" i="1" s="1"/>
  <c r="BR212" i="1" a="1"/>
  <c r="BR212" i="1" s="1"/>
  <c r="BR213" i="1" a="1"/>
  <c r="BR213" i="1" s="1"/>
  <c r="BR214" i="1" a="1"/>
  <c r="BR214" i="1" s="1"/>
  <c r="BR215" i="1" a="1"/>
  <c r="BR215" i="1" s="1"/>
  <c r="BR216" i="1" a="1"/>
  <c r="BR216" i="1" s="1"/>
  <c r="BR217" i="1" a="1"/>
  <c r="BR217" i="1" s="1"/>
  <c r="BR218" i="1" a="1"/>
  <c r="BR218" i="1" s="1"/>
  <c r="BR219" i="1" a="1"/>
  <c r="BR219" i="1" s="1"/>
  <c r="BR220" i="1" a="1"/>
  <c r="BR220" i="1" s="1"/>
  <c r="BR221" i="1" a="1"/>
  <c r="BR221" i="1" s="1"/>
  <c r="BR222" i="1" a="1"/>
  <c r="BR222" i="1" s="1"/>
  <c r="BR223" i="1" a="1"/>
  <c r="BR223" i="1" s="1"/>
  <c r="BR224" i="1" a="1"/>
  <c r="BR224" i="1" s="1"/>
  <c r="BR225" i="1" a="1"/>
  <c r="BR225" i="1" s="1"/>
  <c r="BR226" i="1" a="1"/>
  <c r="BR226" i="1" s="1"/>
  <c r="BR227" i="1" a="1"/>
  <c r="BR227" i="1" s="1"/>
  <c r="BR228" i="1" a="1"/>
  <c r="BR228" i="1" s="1"/>
  <c r="BR229" i="1" a="1"/>
  <c r="BR229" i="1" s="1"/>
  <c r="BR230" i="1" a="1"/>
  <c r="BR230" i="1" s="1"/>
  <c r="BR231" i="1" a="1"/>
  <c r="BR231" i="1" s="1"/>
  <c r="BR232" i="1" a="1"/>
  <c r="BR232" i="1" s="1"/>
  <c r="BR233" i="1" a="1"/>
  <c r="BR233" i="1" s="1"/>
  <c r="BR234" i="1" a="1"/>
  <c r="BR234" i="1" s="1"/>
  <c r="BR235" i="1" a="1"/>
  <c r="BR235" i="1" s="1"/>
  <c r="BR236" i="1" a="1"/>
  <c r="BR236" i="1" s="1"/>
  <c r="BR237" i="1" a="1"/>
  <c r="BR237" i="1" s="1"/>
  <c r="BR238" i="1" a="1"/>
  <c r="BR238" i="1" s="1"/>
  <c r="BR239" i="1" a="1"/>
  <c r="BR239" i="1" s="1"/>
  <c r="BR240" i="1" a="1"/>
  <c r="BR240" i="1" s="1"/>
  <c r="BR241" i="1" a="1"/>
  <c r="BR241" i="1" s="1"/>
  <c r="BR242" i="1" a="1"/>
  <c r="BR242" i="1" s="1"/>
  <c r="BR243" i="1" a="1"/>
  <c r="BR243" i="1" s="1"/>
  <c r="BR244" i="1" a="1"/>
  <c r="BR244" i="1" s="1"/>
  <c r="BR245" i="1" a="1"/>
  <c r="BR245" i="1" s="1"/>
  <c r="BR246" i="1" a="1"/>
  <c r="BR246" i="1" s="1"/>
  <c r="BR247" i="1" a="1"/>
  <c r="BR247" i="1" s="1"/>
  <c r="BR248" i="1" a="1"/>
  <c r="BR248" i="1" s="1"/>
  <c r="BR249" i="1" a="1"/>
  <c r="BR249" i="1" s="1"/>
  <c r="BR250" i="1" a="1"/>
  <c r="BR250" i="1" s="1"/>
  <c r="BR251" i="1" a="1"/>
  <c r="BR251" i="1" s="1"/>
  <c r="BR252" i="1" a="1"/>
  <c r="BR252" i="1" s="1"/>
  <c r="BR253" i="1" a="1"/>
  <c r="BR253" i="1" s="1"/>
  <c r="BR254" i="1" a="1"/>
  <c r="BR254" i="1" s="1"/>
  <c r="BR202" i="1" a="1"/>
  <c r="BR202" i="1" s="1"/>
  <c r="BR256" i="1" a="1"/>
  <c r="BR256" i="1" s="1"/>
  <c r="BR257" i="1" a="1"/>
  <c r="BR257" i="1" s="1"/>
  <c r="BR258" i="1" a="1"/>
  <c r="BR258" i="1" s="1"/>
  <c r="BR259" i="1" a="1"/>
  <c r="BR259" i="1" s="1"/>
  <c r="BR260" i="1" a="1"/>
  <c r="BR260" i="1" s="1"/>
  <c r="BR261" i="1" a="1"/>
  <c r="BR261" i="1" s="1"/>
  <c r="BR262" i="1" a="1"/>
  <c r="BR262" i="1" s="1"/>
  <c r="BR263" i="1" a="1"/>
  <c r="BR263" i="1" s="1"/>
  <c r="BR264" i="1" a="1"/>
  <c r="BR264" i="1" s="1"/>
  <c r="BR265" i="1" a="1"/>
  <c r="BR265" i="1" s="1"/>
  <c r="BR266" i="1" a="1"/>
  <c r="BR266" i="1" s="1"/>
  <c r="BR267" i="1" a="1"/>
  <c r="BR267" i="1" s="1"/>
  <c r="BR268" i="1" a="1"/>
  <c r="BR268" i="1" s="1"/>
  <c r="BR269" i="1" a="1"/>
  <c r="BR269" i="1" s="1"/>
  <c r="BR270" i="1" a="1"/>
  <c r="BR270" i="1" s="1"/>
  <c r="BR271" i="1" a="1"/>
  <c r="BR271" i="1" s="1"/>
  <c r="BL65" i="1" a="1"/>
  <c r="BL65" i="1" s="1"/>
  <c r="BY65" i="1" s="1"/>
  <c r="BL236" i="1" a="1"/>
  <c r="BL236" i="1" s="1"/>
  <c r="BY236" i="1" s="1"/>
  <c r="BT6" i="1" a="1"/>
  <c r="BT6" i="1" s="1"/>
  <c r="BT7" i="1" a="1"/>
  <c r="BT7" i="1" s="1"/>
  <c r="BT8" i="1" a="1"/>
  <c r="BT8" i="1" s="1"/>
  <c r="BT9" i="1" a="1"/>
  <c r="BT9" i="1" s="1"/>
  <c r="BT10" i="1" a="1"/>
  <c r="BT10" i="1" s="1"/>
  <c r="BT11" i="1" a="1"/>
  <c r="BT11" i="1" s="1"/>
  <c r="BT12" i="1" a="1"/>
  <c r="BT12" i="1" s="1"/>
  <c r="BT13" i="1" a="1"/>
  <c r="BT13" i="1" s="1"/>
  <c r="BT186" i="1" a="1"/>
  <c r="BT186" i="1" s="1"/>
  <c r="BT15" i="1" a="1"/>
  <c r="BT15" i="1" s="1"/>
  <c r="BT16" i="1" a="1"/>
  <c r="BT16" i="1" s="1"/>
  <c r="BT17" i="1" a="1"/>
  <c r="BT17" i="1" s="1"/>
  <c r="BT18" i="1" a="1"/>
  <c r="BT18" i="1" s="1"/>
  <c r="BT90" i="1" a="1"/>
  <c r="BT90" i="1" s="1"/>
  <c r="BT20" i="1" a="1"/>
  <c r="BT20" i="1" s="1"/>
  <c r="BT21" i="1" a="1"/>
  <c r="BT21" i="1" s="1"/>
  <c r="BT22" i="1" a="1"/>
  <c r="BT22" i="1" s="1"/>
  <c r="BT23" i="1" a="1"/>
  <c r="BT23" i="1" s="1"/>
  <c r="BT24" i="1" a="1"/>
  <c r="BT24" i="1" s="1"/>
  <c r="BT25" i="1" a="1"/>
  <c r="BT25" i="1" s="1"/>
  <c r="BT26" i="1" a="1"/>
  <c r="BT26" i="1" s="1"/>
  <c r="BT27" i="1" a="1"/>
  <c r="BT27" i="1" s="1"/>
  <c r="BT28" i="1" a="1"/>
  <c r="BT28" i="1" s="1"/>
  <c r="BT29" i="1" a="1"/>
  <c r="BT29" i="1" s="1"/>
  <c r="BT30" i="1" a="1"/>
  <c r="BT30" i="1" s="1"/>
  <c r="BT31" i="1" a="1"/>
  <c r="BT31" i="1" s="1"/>
  <c r="BT32" i="1" a="1"/>
  <c r="BT32" i="1" s="1"/>
  <c r="BT33" i="1" a="1"/>
  <c r="BT33" i="1" s="1"/>
  <c r="BT34" i="1" a="1"/>
  <c r="BT34" i="1" s="1"/>
  <c r="BT209" i="1" a="1"/>
  <c r="BT209" i="1" s="1"/>
  <c r="BT36" i="1" a="1"/>
  <c r="BT36" i="1" s="1"/>
  <c r="BT37" i="1" a="1"/>
  <c r="BT37" i="1" s="1"/>
  <c r="BT38" i="1" a="1"/>
  <c r="BT38" i="1" s="1"/>
  <c r="BT39" i="1" a="1"/>
  <c r="BT39" i="1" s="1"/>
  <c r="BT40" i="1" a="1"/>
  <c r="BT40" i="1" s="1"/>
  <c r="BT41" i="1" a="1"/>
  <c r="BT41" i="1" s="1"/>
  <c r="BT42" i="1" a="1"/>
  <c r="BT42" i="1" s="1"/>
  <c r="BT43" i="1" a="1"/>
  <c r="BT43" i="1" s="1"/>
  <c r="BT44" i="1" a="1"/>
  <c r="BT44" i="1" s="1"/>
  <c r="BT45" i="1" a="1"/>
  <c r="BT45" i="1" s="1"/>
  <c r="BT46" i="1" a="1"/>
  <c r="BT46" i="1" s="1"/>
  <c r="BT47" i="1" a="1"/>
  <c r="BT47" i="1" s="1"/>
  <c r="BT48" i="1" a="1"/>
  <c r="BT48" i="1" s="1"/>
  <c r="BT49" i="1" a="1"/>
  <c r="BT49" i="1" s="1"/>
  <c r="BT50" i="1" a="1"/>
  <c r="BT50" i="1" s="1"/>
  <c r="BT51" i="1" a="1"/>
  <c r="BT51" i="1" s="1"/>
  <c r="BT52" i="1" a="1"/>
  <c r="BT52" i="1" s="1"/>
  <c r="BT53" i="1" a="1"/>
  <c r="BT53" i="1" s="1"/>
  <c r="BT54" i="1" a="1"/>
  <c r="BT54" i="1" s="1"/>
  <c r="BT55" i="1" a="1"/>
  <c r="BT55" i="1" s="1"/>
  <c r="BT56" i="1" a="1"/>
  <c r="BT56" i="1" s="1"/>
  <c r="BT57" i="1" a="1"/>
  <c r="BT57" i="1" s="1"/>
  <c r="BT58" i="1" a="1"/>
  <c r="BT58" i="1" s="1"/>
  <c r="BT59" i="1" a="1"/>
  <c r="BT59" i="1" s="1"/>
  <c r="BT60" i="1" a="1"/>
  <c r="BT60" i="1" s="1"/>
  <c r="BT61" i="1" a="1"/>
  <c r="BT61" i="1" s="1"/>
  <c r="BT62" i="1" a="1"/>
  <c r="BT62" i="1" s="1"/>
  <c r="BT63" i="1" a="1"/>
  <c r="BT63" i="1" s="1"/>
  <c r="BT64" i="1" a="1"/>
  <c r="BT64" i="1" s="1"/>
  <c r="BT127" i="1" a="1"/>
  <c r="BT127" i="1" s="1"/>
  <c r="BT66" i="1" a="1"/>
  <c r="BT66" i="1" s="1"/>
  <c r="BT121" i="1" a="1"/>
  <c r="BT121" i="1" s="1"/>
  <c r="BT68" i="1" a="1"/>
  <c r="BT68" i="1" s="1"/>
  <c r="BT69" i="1" a="1"/>
  <c r="BT69" i="1" s="1"/>
  <c r="BT184" i="1" a="1"/>
  <c r="BT184" i="1" s="1"/>
  <c r="BT71" i="1" a="1"/>
  <c r="BT71" i="1" s="1"/>
  <c r="BT72" i="1" a="1"/>
  <c r="BT72" i="1" s="1"/>
  <c r="BT73" i="1" a="1"/>
  <c r="BT73" i="1" s="1"/>
  <c r="BT74" i="1" a="1"/>
  <c r="BT74" i="1" s="1"/>
  <c r="BT75" i="1" a="1"/>
  <c r="BT75" i="1" s="1"/>
  <c r="BT76" i="1" a="1"/>
  <c r="BT76" i="1" s="1"/>
  <c r="BT77" i="1" a="1"/>
  <c r="BT77" i="1" s="1"/>
  <c r="BT78" i="1" a="1"/>
  <c r="BT78" i="1" s="1"/>
  <c r="BT79" i="1" a="1"/>
  <c r="BT79" i="1" s="1"/>
  <c r="BT80" i="1" a="1"/>
  <c r="BT80" i="1" s="1"/>
  <c r="BT81" i="1" a="1"/>
  <c r="BT81" i="1" s="1"/>
  <c r="BT82" i="1" a="1"/>
  <c r="BT82" i="1" s="1"/>
  <c r="BT83" i="1" a="1"/>
  <c r="BT83" i="1" s="1"/>
  <c r="BT84" i="1" a="1"/>
  <c r="BT84" i="1" s="1"/>
  <c r="BT85" i="1" a="1"/>
  <c r="BT85" i="1" s="1"/>
  <c r="BT86" i="1" a="1"/>
  <c r="BT86" i="1" s="1"/>
  <c r="BT87" i="1" a="1"/>
  <c r="BT87" i="1" s="1"/>
  <c r="BT88" i="1" a="1"/>
  <c r="BT88" i="1" s="1"/>
  <c r="BT124" i="1" a="1"/>
  <c r="BT124" i="1" s="1"/>
  <c r="BT163" i="1" a="1"/>
  <c r="BT163" i="1" s="1"/>
  <c r="BT91" i="1" a="1"/>
  <c r="BT91" i="1" s="1"/>
  <c r="BT180" i="1" a="1"/>
  <c r="BT180" i="1" s="1"/>
  <c r="BT93" i="1" a="1"/>
  <c r="BT93" i="1" s="1"/>
  <c r="BT94" i="1" a="1"/>
  <c r="BT94" i="1" s="1"/>
  <c r="BT95" i="1" a="1"/>
  <c r="BT95" i="1" s="1"/>
  <c r="BT96" i="1" a="1"/>
  <c r="BT96" i="1" s="1"/>
  <c r="BT97" i="1" a="1"/>
  <c r="BT97" i="1" s="1"/>
  <c r="BT98" i="1" a="1"/>
  <c r="BT98" i="1" s="1"/>
  <c r="BT99" i="1" a="1"/>
  <c r="BT99" i="1" s="1"/>
  <c r="BT100" i="1" a="1"/>
  <c r="BT100" i="1" s="1"/>
  <c r="BT101" i="1" a="1"/>
  <c r="BT101" i="1" s="1"/>
  <c r="BT102" i="1" a="1"/>
  <c r="BT102" i="1" s="1"/>
  <c r="BT103" i="1" a="1"/>
  <c r="BT103" i="1" s="1"/>
  <c r="BT104" i="1" a="1"/>
  <c r="BT104" i="1" s="1"/>
  <c r="BT105" i="1" a="1"/>
  <c r="BT105" i="1" s="1"/>
  <c r="BT106" i="1" a="1"/>
  <c r="BT106" i="1" s="1"/>
  <c r="BT107" i="1" a="1"/>
  <c r="BT107" i="1" s="1"/>
  <c r="BT108" i="1" a="1"/>
  <c r="BT108" i="1" s="1"/>
  <c r="BT109" i="1" a="1"/>
  <c r="BT109" i="1" s="1"/>
  <c r="BT110" i="1" a="1"/>
  <c r="BT110" i="1" s="1"/>
  <c r="BT111" i="1" a="1"/>
  <c r="BT111" i="1" s="1"/>
  <c r="BT112" i="1" a="1"/>
  <c r="BT112" i="1" s="1"/>
  <c r="BT113" i="1" a="1"/>
  <c r="BT113" i="1" s="1"/>
  <c r="BT89" i="1" a="1"/>
  <c r="BT89" i="1" s="1"/>
  <c r="BT115" i="1" a="1"/>
  <c r="BT115" i="1" s="1"/>
  <c r="BT116" i="1" a="1"/>
  <c r="BT116" i="1" s="1"/>
  <c r="BT117" i="1" a="1"/>
  <c r="BT117" i="1" s="1"/>
  <c r="BT118" i="1" a="1"/>
  <c r="BT118" i="1" s="1"/>
  <c r="BT119" i="1" a="1"/>
  <c r="BT119" i="1" s="1"/>
  <c r="BT67" i="1" a="1"/>
  <c r="BT67" i="1" s="1"/>
  <c r="BT70" i="1" a="1"/>
  <c r="BT70" i="1" s="1"/>
  <c r="BT122" i="1" a="1"/>
  <c r="BT122" i="1" s="1"/>
  <c r="BT123" i="1" a="1"/>
  <c r="BT123" i="1" s="1"/>
  <c r="BT153" i="1" a="1"/>
  <c r="BT153" i="1" s="1"/>
  <c r="BT125" i="1" a="1"/>
  <c r="BT125" i="1" s="1"/>
  <c r="BT126" i="1" a="1"/>
  <c r="BT126" i="1" s="1"/>
  <c r="BT14" i="1" a="1"/>
  <c r="BT14" i="1" s="1"/>
  <c r="BT128" i="1" a="1"/>
  <c r="BT128" i="1" s="1"/>
  <c r="BT129" i="1" a="1"/>
  <c r="BT129" i="1" s="1"/>
  <c r="BT130" i="1" a="1"/>
  <c r="BT130" i="1" s="1"/>
  <c r="BT131" i="1" a="1"/>
  <c r="BT131" i="1" s="1"/>
  <c r="BT132" i="1" a="1"/>
  <c r="BT132" i="1" s="1"/>
  <c r="BT133" i="1" a="1"/>
  <c r="BT133" i="1" s="1"/>
  <c r="BT134" i="1" a="1"/>
  <c r="BT134" i="1" s="1"/>
  <c r="BT135" i="1" a="1"/>
  <c r="BT135" i="1" s="1"/>
  <c r="BT136" i="1" a="1"/>
  <c r="BT136" i="1" s="1"/>
  <c r="BT137" i="1" a="1"/>
  <c r="BT137" i="1" s="1"/>
  <c r="BT138" i="1" a="1"/>
  <c r="BT138" i="1" s="1"/>
  <c r="BT139" i="1" a="1"/>
  <c r="BT139" i="1" s="1"/>
  <c r="BT140" i="1" a="1"/>
  <c r="BT140" i="1" s="1"/>
  <c r="BT141" i="1" a="1"/>
  <c r="BT141" i="1" s="1"/>
  <c r="BT142" i="1" a="1"/>
  <c r="BT142" i="1" s="1"/>
  <c r="BT143" i="1" a="1"/>
  <c r="BT143" i="1" s="1"/>
  <c r="BT144" i="1" a="1"/>
  <c r="BT144" i="1" s="1"/>
  <c r="BT145" i="1" a="1"/>
  <c r="BT145" i="1" s="1"/>
  <c r="BT146" i="1" a="1"/>
  <c r="BT146" i="1" s="1"/>
  <c r="BT147" i="1" a="1"/>
  <c r="BT147" i="1" s="1"/>
  <c r="BT148" i="1" a="1"/>
  <c r="BT148" i="1" s="1"/>
  <c r="BT149" i="1" a="1"/>
  <c r="BT149" i="1" s="1"/>
  <c r="BT150" i="1" a="1"/>
  <c r="BT150" i="1" s="1"/>
  <c r="BT151" i="1" a="1"/>
  <c r="BT151" i="1" s="1"/>
  <c r="BT152" i="1" a="1"/>
  <c r="BT152" i="1" s="1"/>
  <c r="BT120" i="1" a="1"/>
  <c r="BT120" i="1" s="1"/>
  <c r="BT154" i="1" a="1"/>
  <c r="BT154" i="1" s="1"/>
  <c r="BT92" i="1" a="1"/>
  <c r="BT92" i="1" s="1"/>
  <c r="BT156" i="1" a="1"/>
  <c r="BT156" i="1" s="1"/>
  <c r="BT157" i="1" a="1"/>
  <c r="BT157" i="1" s="1"/>
  <c r="BT158" i="1" a="1"/>
  <c r="BT158" i="1" s="1"/>
  <c r="BT159" i="1" a="1"/>
  <c r="BT159" i="1" s="1"/>
  <c r="BT160" i="1" a="1"/>
  <c r="BT160" i="1" s="1"/>
  <c r="BT161" i="1" a="1"/>
  <c r="BT161" i="1" s="1"/>
  <c r="BT162" i="1" a="1"/>
  <c r="BT162" i="1" s="1"/>
  <c r="BT65" i="1" a="1"/>
  <c r="BT65" i="1" s="1"/>
  <c r="BT164" i="1" a="1"/>
  <c r="BT164" i="1" s="1"/>
  <c r="BT165" i="1" a="1"/>
  <c r="BT165" i="1" s="1"/>
  <c r="BT166" i="1" a="1"/>
  <c r="BT166" i="1" s="1"/>
  <c r="BT167" i="1" a="1"/>
  <c r="BT167" i="1" s="1"/>
  <c r="BT168" i="1" a="1"/>
  <c r="BT168" i="1" s="1"/>
  <c r="BT169" i="1" a="1"/>
  <c r="BT169" i="1" s="1"/>
  <c r="BT170" i="1" a="1"/>
  <c r="BT170" i="1" s="1"/>
  <c r="BT171" i="1" a="1"/>
  <c r="BT171" i="1" s="1"/>
  <c r="BT172" i="1" a="1"/>
  <c r="BT172" i="1" s="1"/>
  <c r="BT173" i="1" a="1"/>
  <c r="BT173" i="1" s="1"/>
  <c r="BT174" i="1" a="1"/>
  <c r="BT174" i="1" s="1"/>
  <c r="BT175" i="1" a="1"/>
  <c r="BT175" i="1" s="1"/>
  <c r="BT176" i="1" a="1"/>
  <c r="BT176" i="1" s="1"/>
  <c r="BT177" i="1" a="1"/>
  <c r="BT177" i="1" s="1"/>
  <c r="BT178" i="1" a="1"/>
  <c r="BT178" i="1" s="1"/>
  <c r="BT179" i="1" a="1"/>
  <c r="BT179" i="1" s="1"/>
  <c r="BT155" i="1" a="1"/>
  <c r="BT155" i="1" s="1"/>
  <c r="BT181" i="1" a="1"/>
  <c r="BT181" i="1" s="1"/>
  <c r="BT182" i="1" a="1"/>
  <c r="BT182" i="1" s="1"/>
  <c r="BT183" i="1" a="1"/>
  <c r="BT183" i="1" s="1"/>
  <c r="BT191" i="1" a="1"/>
  <c r="BT191" i="1" s="1"/>
  <c r="BT185" i="1" a="1"/>
  <c r="BT185" i="1" s="1"/>
  <c r="BT19" i="1" a="1"/>
  <c r="BT19" i="1" s="1"/>
  <c r="BT187" i="1" a="1"/>
  <c r="BT187" i="1" s="1"/>
  <c r="BT188" i="1" a="1"/>
  <c r="BT188" i="1" s="1"/>
  <c r="BT189" i="1" a="1"/>
  <c r="BT189" i="1" s="1"/>
  <c r="BT190" i="1" a="1"/>
  <c r="BT190" i="1" s="1"/>
  <c r="BT35" i="1" a="1"/>
  <c r="BT35" i="1" s="1"/>
  <c r="BT192" i="1" a="1"/>
  <c r="BT192" i="1" s="1"/>
  <c r="BT193" i="1" a="1"/>
  <c r="BT193" i="1" s="1"/>
  <c r="BT194" i="1" a="1"/>
  <c r="BT194" i="1" s="1"/>
  <c r="BT195" i="1" a="1"/>
  <c r="BT195" i="1" s="1"/>
  <c r="BT196" i="1" a="1"/>
  <c r="BT196" i="1" s="1"/>
  <c r="BT197" i="1" a="1"/>
  <c r="BT197" i="1" s="1"/>
  <c r="BT198" i="1" a="1"/>
  <c r="BT198" i="1" s="1"/>
  <c r="BT199" i="1" a="1"/>
  <c r="BT199" i="1" s="1"/>
  <c r="BT200" i="1" a="1"/>
  <c r="BT200" i="1" s="1"/>
  <c r="BT201" i="1" a="1"/>
  <c r="BT201" i="1" s="1"/>
  <c r="BT255" i="1" a="1"/>
  <c r="BT255" i="1" s="1"/>
  <c r="BT203" i="1" a="1"/>
  <c r="BT203" i="1" s="1"/>
  <c r="BT204" i="1" a="1"/>
  <c r="BT204" i="1" s="1"/>
  <c r="BT205" i="1" a="1"/>
  <c r="BT205" i="1" s="1"/>
  <c r="BT206" i="1" a="1"/>
  <c r="BT206" i="1" s="1"/>
  <c r="BT207" i="1" a="1"/>
  <c r="BT207" i="1" s="1"/>
  <c r="BT208" i="1" a="1"/>
  <c r="BT208" i="1" s="1"/>
  <c r="BT114" i="1" a="1"/>
  <c r="BT114" i="1" s="1"/>
  <c r="BT210" i="1" a="1"/>
  <c r="BT210" i="1" s="1"/>
  <c r="BT211" i="1" a="1"/>
  <c r="BT211" i="1" s="1"/>
  <c r="BT212" i="1" a="1"/>
  <c r="BT212" i="1" s="1"/>
  <c r="BT213" i="1" a="1"/>
  <c r="BT213" i="1" s="1"/>
  <c r="BT214" i="1" a="1"/>
  <c r="BT214" i="1" s="1"/>
  <c r="BT215" i="1" a="1"/>
  <c r="BT215" i="1" s="1"/>
  <c r="BT216" i="1" a="1"/>
  <c r="BT216" i="1" s="1"/>
  <c r="BT217" i="1" a="1"/>
  <c r="BT217" i="1" s="1"/>
  <c r="BT218" i="1" a="1"/>
  <c r="BT218" i="1" s="1"/>
  <c r="BT219" i="1" a="1"/>
  <c r="BT219" i="1" s="1"/>
  <c r="BT220" i="1" a="1"/>
  <c r="BT220" i="1" s="1"/>
  <c r="BT221" i="1" a="1"/>
  <c r="BT221" i="1" s="1"/>
  <c r="BT222" i="1" a="1"/>
  <c r="BT222" i="1" s="1"/>
  <c r="BT223" i="1" a="1"/>
  <c r="BT223" i="1" s="1"/>
  <c r="BT224" i="1" a="1"/>
  <c r="BT224" i="1" s="1"/>
  <c r="BT225" i="1" a="1"/>
  <c r="BT225" i="1" s="1"/>
  <c r="BT226" i="1" a="1"/>
  <c r="BT226" i="1" s="1"/>
  <c r="BT227" i="1" a="1"/>
  <c r="BT227" i="1" s="1"/>
  <c r="BT228" i="1" a="1"/>
  <c r="BT228" i="1" s="1"/>
  <c r="BT229" i="1" a="1"/>
  <c r="BT229" i="1" s="1"/>
  <c r="BT230" i="1" a="1"/>
  <c r="BT230" i="1" s="1"/>
  <c r="BT231" i="1" a="1"/>
  <c r="BT231" i="1" s="1"/>
  <c r="BT232" i="1" a="1"/>
  <c r="BT232" i="1" s="1"/>
  <c r="BT233" i="1" a="1"/>
  <c r="BT233" i="1" s="1"/>
  <c r="BT234" i="1" a="1"/>
  <c r="BT234" i="1" s="1"/>
  <c r="BT235" i="1" a="1"/>
  <c r="BT235" i="1" s="1"/>
  <c r="BT236" i="1" a="1"/>
  <c r="BT236" i="1" s="1"/>
  <c r="BT237" i="1" a="1"/>
  <c r="BT237" i="1" s="1"/>
  <c r="BT238" i="1" a="1"/>
  <c r="BT238" i="1" s="1"/>
  <c r="BT239" i="1" a="1"/>
  <c r="BT239" i="1" s="1"/>
  <c r="BT240" i="1" a="1"/>
  <c r="BT240" i="1" s="1"/>
  <c r="BT241" i="1" a="1"/>
  <c r="BT241" i="1" s="1"/>
  <c r="BT242" i="1" a="1"/>
  <c r="BT242" i="1" s="1"/>
  <c r="BT243" i="1" a="1"/>
  <c r="BT243" i="1" s="1"/>
  <c r="BT244" i="1" a="1"/>
  <c r="BT244" i="1" s="1"/>
  <c r="BT245" i="1" a="1"/>
  <c r="BT245" i="1" s="1"/>
  <c r="BT246" i="1" a="1"/>
  <c r="BT246" i="1" s="1"/>
  <c r="BT247" i="1" a="1"/>
  <c r="BT247" i="1" s="1"/>
  <c r="BT248" i="1" a="1"/>
  <c r="BT248" i="1" s="1"/>
  <c r="BT249" i="1" a="1"/>
  <c r="BT249" i="1" s="1"/>
  <c r="BT250" i="1" a="1"/>
  <c r="BT250" i="1" s="1"/>
  <c r="BT251" i="1" a="1"/>
  <c r="BT251" i="1" s="1"/>
  <c r="BT252" i="1" a="1"/>
  <c r="BT252" i="1" s="1"/>
  <c r="BT253" i="1" a="1"/>
  <c r="BT253" i="1" s="1"/>
  <c r="BT254" i="1" a="1"/>
  <c r="BT254" i="1" s="1"/>
  <c r="BT202" i="1" a="1"/>
  <c r="BT202" i="1" s="1"/>
  <c r="BT256" i="1" a="1"/>
  <c r="BT256" i="1" s="1"/>
  <c r="BT257" i="1" a="1"/>
  <c r="BT257" i="1" s="1"/>
  <c r="BT258" i="1" a="1"/>
  <c r="BT258" i="1" s="1"/>
  <c r="BT259" i="1" a="1"/>
  <c r="BT259" i="1" s="1"/>
  <c r="BT260" i="1" a="1"/>
  <c r="BT260" i="1" s="1"/>
  <c r="BT261" i="1" a="1"/>
  <c r="BT261" i="1" s="1"/>
  <c r="BT262" i="1" a="1"/>
  <c r="BT262" i="1" s="1"/>
  <c r="BT263" i="1" a="1"/>
  <c r="BT263" i="1" s="1"/>
  <c r="BT264" i="1" a="1"/>
  <c r="BT264" i="1" s="1"/>
  <c r="BT265" i="1" a="1"/>
  <c r="BT265" i="1" s="1"/>
  <c r="BT266" i="1" a="1"/>
  <c r="BT266" i="1" s="1"/>
  <c r="BT267" i="1" a="1"/>
  <c r="BT267" i="1" s="1"/>
  <c r="BT268" i="1" a="1"/>
  <c r="BT268" i="1" s="1"/>
  <c r="BT269" i="1" a="1"/>
  <c r="BT269" i="1" s="1"/>
  <c r="BT270" i="1" a="1"/>
  <c r="BT270" i="1" s="1"/>
  <c r="BT271" i="1" a="1"/>
  <c r="BT271" i="1" s="1"/>
  <c r="BU6" i="1" a="1"/>
  <c r="BU6" i="1" s="1"/>
  <c r="BU7" i="1" a="1"/>
  <c r="BU7" i="1" s="1"/>
  <c r="BU8" i="1" a="1"/>
  <c r="BU8" i="1" s="1"/>
  <c r="BU9" i="1" a="1"/>
  <c r="BU9" i="1" s="1"/>
  <c r="BU10" i="1" a="1"/>
  <c r="BU10" i="1" s="1"/>
  <c r="BU11" i="1" a="1"/>
  <c r="BU11" i="1" s="1"/>
  <c r="BU12" i="1" a="1"/>
  <c r="BU12" i="1" s="1"/>
  <c r="BU13" i="1" a="1"/>
  <c r="BU13" i="1" s="1"/>
  <c r="BU186" i="1" a="1"/>
  <c r="BU186" i="1" s="1"/>
  <c r="BU15" i="1" a="1"/>
  <c r="BU15" i="1" s="1"/>
  <c r="BU16" i="1" a="1"/>
  <c r="BU16" i="1" s="1"/>
  <c r="BU17" i="1" a="1"/>
  <c r="BU17" i="1" s="1"/>
  <c r="BU18" i="1" a="1"/>
  <c r="BU18" i="1" s="1"/>
  <c r="BU90" i="1" a="1"/>
  <c r="BU90" i="1" s="1"/>
  <c r="BU20" i="1" a="1"/>
  <c r="BU20" i="1" s="1"/>
  <c r="BU21" i="1" a="1"/>
  <c r="BU21" i="1" s="1"/>
  <c r="BU22" i="1" a="1"/>
  <c r="BU22" i="1" s="1"/>
  <c r="BU23" i="1" a="1"/>
  <c r="BU23" i="1" s="1"/>
  <c r="BU24" i="1" a="1"/>
  <c r="BU24" i="1" s="1"/>
  <c r="BU25" i="1" a="1"/>
  <c r="BU25" i="1" s="1"/>
  <c r="BU26" i="1" a="1"/>
  <c r="BU26" i="1" s="1"/>
  <c r="BU27" i="1" a="1"/>
  <c r="BU27" i="1" s="1"/>
  <c r="BU28" i="1" a="1"/>
  <c r="BU28" i="1" s="1"/>
  <c r="BU29" i="1" a="1"/>
  <c r="BU29" i="1" s="1"/>
  <c r="BU30" i="1" a="1"/>
  <c r="BU30" i="1" s="1"/>
  <c r="BU31" i="1" a="1"/>
  <c r="BU31" i="1" s="1"/>
  <c r="BU32" i="1" a="1"/>
  <c r="BU32" i="1" s="1"/>
  <c r="BU33" i="1" a="1"/>
  <c r="BU33" i="1" s="1"/>
  <c r="BU34" i="1" a="1"/>
  <c r="BU34" i="1" s="1"/>
  <c r="BU209" i="1" a="1"/>
  <c r="BU209" i="1" s="1"/>
  <c r="BU36" i="1" a="1"/>
  <c r="BU36" i="1" s="1"/>
  <c r="BU37" i="1" a="1"/>
  <c r="BU37" i="1" s="1"/>
  <c r="BU38" i="1" a="1"/>
  <c r="BU38" i="1" s="1"/>
  <c r="BU39" i="1" a="1"/>
  <c r="BU39" i="1" s="1"/>
  <c r="BU40" i="1" a="1"/>
  <c r="BU40" i="1" s="1"/>
  <c r="BU41" i="1" a="1"/>
  <c r="BU41" i="1" s="1"/>
  <c r="BU42" i="1" a="1"/>
  <c r="BU42" i="1" s="1"/>
  <c r="BU43" i="1" a="1"/>
  <c r="BU43" i="1" s="1"/>
  <c r="BU44" i="1" a="1"/>
  <c r="BU44" i="1" s="1"/>
  <c r="BU45" i="1" a="1"/>
  <c r="BU45" i="1" s="1"/>
  <c r="BU46" i="1" a="1"/>
  <c r="BU46" i="1" s="1"/>
  <c r="BU47" i="1" a="1"/>
  <c r="BU47" i="1" s="1"/>
  <c r="BU48" i="1" a="1"/>
  <c r="BU48" i="1" s="1"/>
  <c r="BU49" i="1" a="1"/>
  <c r="BU49" i="1" s="1"/>
  <c r="BU50" i="1" a="1"/>
  <c r="BU50" i="1" s="1"/>
  <c r="BU51" i="1" a="1"/>
  <c r="BU51" i="1" s="1"/>
  <c r="BU52" i="1" a="1"/>
  <c r="BU52" i="1" s="1"/>
  <c r="BU53" i="1" a="1"/>
  <c r="BU53" i="1" s="1"/>
  <c r="BU54" i="1" a="1"/>
  <c r="BU54" i="1" s="1"/>
  <c r="BU55" i="1" a="1"/>
  <c r="BU55" i="1" s="1"/>
  <c r="BU56" i="1" a="1"/>
  <c r="BU56" i="1" s="1"/>
  <c r="BU57" i="1" a="1"/>
  <c r="BU57" i="1" s="1"/>
  <c r="BU58" i="1" a="1"/>
  <c r="BU58" i="1" s="1"/>
  <c r="BU59" i="1" a="1"/>
  <c r="BU59" i="1" s="1"/>
  <c r="BU60" i="1" a="1"/>
  <c r="BU60" i="1" s="1"/>
  <c r="BU61" i="1" a="1"/>
  <c r="BU61" i="1" s="1"/>
  <c r="BU62" i="1" a="1"/>
  <c r="BU62" i="1" s="1"/>
  <c r="BU63" i="1" a="1"/>
  <c r="BU63" i="1" s="1"/>
  <c r="BU64" i="1" a="1"/>
  <c r="BU64" i="1" s="1"/>
  <c r="BU127" i="1" a="1"/>
  <c r="BU127" i="1" s="1"/>
  <c r="BU66" i="1" a="1"/>
  <c r="BU66" i="1" s="1"/>
  <c r="BU121" i="1" a="1"/>
  <c r="BU121" i="1" s="1"/>
  <c r="BU68" i="1" a="1"/>
  <c r="BU68" i="1" s="1"/>
  <c r="BU69" i="1" a="1"/>
  <c r="BU69" i="1" s="1"/>
  <c r="BU184" i="1" a="1"/>
  <c r="BU184" i="1" s="1"/>
  <c r="BU71" i="1" a="1"/>
  <c r="BU71" i="1" s="1"/>
  <c r="BU72" i="1" a="1"/>
  <c r="BU72" i="1" s="1"/>
  <c r="BU73" i="1" a="1"/>
  <c r="BU73" i="1" s="1"/>
  <c r="BU74" i="1" a="1"/>
  <c r="BU74" i="1" s="1"/>
  <c r="BU75" i="1" a="1"/>
  <c r="BU75" i="1" s="1"/>
  <c r="BU76" i="1" a="1"/>
  <c r="BU76" i="1" s="1"/>
  <c r="BU77" i="1" a="1"/>
  <c r="BU77" i="1" s="1"/>
  <c r="BU78" i="1" a="1"/>
  <c r="BU78" i="1" s="1"/>
  <c r="BU79" i="1" a="1"/>
  <c r="BU79" i="1" s="1"/>
  <c r="BU80" i="1" a="1"/>
  <c r="BU80" i="1" s="1"/>
  <c r="BU81" i="1" a="1"/>
  <c r="BU81" i="1" s="1"/>
  <c r="BU82" i="1" a="1"/>
  <c r="BU82" i="1" s="1"/>
  <c r="BU83" i="1" a="1"/>
  <c r="BU83" i="1" s="1"/>
  <c r="BU84" i="1" a="1"/>
  <c r="BU84" i="1" s="1"/>
  <c r="BU85" i="1" a="1"/>
  <c r="BU85" i="1" s="1"/>
  <c r="BU86" i="1" a="1"/>
  <c r="BU86" i="1" s="1"/>
  <c r="BU87" i="1" a="1"/>
  <c r="BU87" i="1" s="1"/>
  <c r="BU88" i="1" a="1"/>
  <c r="BU88" i="1" s="1"/>
  <c r="BU124" i="1" a="1"/>
  <c r="BU124" i="1" s="1"/>
  <c r="BU163" i="1" a="1"/>
  <c r="BU163" i="1" s="1"/>
  <c r="BU91" i="1" a="1"/>
  <c r="BU91" i="1" s="1"/>
  <c r="BU180" i="1" a="1"/>
  <c r="BU180" i="1" s="1"/>
  <c r="BU93" i="1" a="1"/>
  <c r="BU93" i="1" s="1"/>
  <c r="BU94" i="1" a="1"/>
  <c r="BU94" i="1" s="1"/>
  <c r="BU95" i="1" a="1"/>
  <c r="BU95" i="1" s="1"/>
  <c r="BU96" i="1" a="1"/>
  <c r="BU96" i="1" s="1"/>
  <c r="BU97" i="1" a="1"/>
  <c r="BU97" i="1" s="1"/>
  <c r="BU98" i="1" a="1"/>
  <c r="BU98" i="1" s="1"/>
  <c r="BU99" i="1" a="1"/>
  <c r="BU99" i="1" s="1"/>
  <c r="BU100" i="1" a="1"/>
  <c r="BU100" i="1" s="1"/>
  <c r="BU101" i="1" a="1"/>
  <c r="BU101" i="1" s="1"/>
  <c r="BU102" i="1" a="1"/>
  <c r="BU102" i="1" s="1"/>
  <c r="BU103" i="1" a="1"/>
  <c r="BU103" i="1" s="1"/>
  <c r="BU104" i="1" a="1"/>
  <c r="BU104" i="1" s="1"/>
  <c r="BU105" i="1" a="1"/>
  <c r="BU105" i="1" s="1"/>
  <c r="BU106" i="1" a="1"/>
  <c r="BU106" i="1" s="1"/>
  <c r="BU107" i="1" a="1"/>
  <c r="BU107" i="1" s="1"/>
  <c r="BU108" i="1" a="1"/>
  <c r="BU108" i="1" s="1"/>
  <c r="BU109" i="1" a="1"/>
  <c r="BU109" i="1" s="1"/>
  <c r="BU110" i="1" a="1"/>
  <c r="BU110" i="1" s="1"/>
  <c r="BU111" i="1" a="1"/>
  <c r="BU111" i="1" s="1"/>
  <c r="BU112" i="1" a="1"/>
  <c r="BU112" i="1" s="1"/>
  <c r="BU113" i="1" a="1"/>
  <c r="BU113" i="1" s="1"/>
  <c r="BU89" i="1" a="1"/>
  <c r="BU89" i="1" s="1"/>
  <c r="BU115" i="1" a="1"/>
  <c r="BU115" i="1" s="1"/>
  <c r="BU116" i="1" a="1"/>
  <c r="BU116" i="1" s="1"/>
  <c r="BU117" i="1" a="1"/>
  <c r="BU117" i="1" s="1"/>
  <c r="BU118" i="1" a="1"/>
  <c r="BU118" i="1" s="1"/>
  <c r="BU119" i="1" a="1"/>
  <c r="BU119" i="1" s="1"/>
  <c r="BU67" i="1" a="1"/>
  <c r="BU67" i="1" s="1"/>
  <c r="BU70" i="1" a="1"/>
  <c r="BU70" i="1" s="1"/>
  <c r="BU122" i="1" a="1"/>
  <c r="BU122" i="1" s="1"/>
  <c r="BU123" i="1" a="1"/>
  <c r="BU123" i="1" s="1"/>
  <c r="BU153" i="1" a="1"/>
  <c r="BU153" i="1" s="1"/>
  <c r="BU125" i="1" a="1"/>
  <c r="BU125" i="1" s="1"/>
  <c r="BU126" i="1" a="1"/>
  <c r="BU126" i="1" s="1"/>
  <c r="BU14" i="1" a="1"/>
  <c r="BU14" i="1" s="1"/>
  <c r="BU128" i="1" a="1"/>
  <c r="BU128" i="1" s="1"/>
  <c r="BU129" i="1" a="1"/>
  <c r="BU129" i="1" s="1"/>
  <c r="BU130" i="1" a="1"/>
  <c r="BU130" i="1" s="1"/>
  <c r="BU131" i="1" a="1"/>
  <c r="BU131" i="1" s="1"/>
  <c r="BU132" i="1" a="1"/>
  <c r="BU132" i="1" s="1"/>
  <c r="BU133" i="1" a="1"/>
  <c r="BU133" i="1" s="1"/>
  <c r="BU134" i="1" a="1"/>
  <c r="BU134" i="1" s="1"/>
  <c r="BU135" i="1" a="1"/>
  <c r="BU135" i="1" s="1"/>
  <c r="BU136" i="1" a="1"/>
  <c r="BU136" i="1" s="1"/>
  <c r="BU137" i="1" a="1"/>
  <c r="BU137" i="1" s="1"/>
  <c r="BU138" i="1" a="1"/>
  <c r="BU138" i="1" s="1"/>
  <c r="BU139" i="1" a="1"/>
  <c r="BU139" i="1" s="1"/>
  <c r="BU140" i="1" a="1"/>
  <c r="BU140" i="1" s="1"/>
  <c r="BU141" i="1" a="1"/>
  <c r="BU141" i="1" s="1"/>
  <c r="BU142" i="1" a="1"/>
  <c r="BU142" i="1" s="1"/>
  <c r="BU143" i="1" a="1"/>
  <c r="BU143" i="1" s="1"/>
  <c r="BU144" i="1" a="1"/>
  <c r="BU144" i="1" s="1"/>
  <c r="BU145" i="1" a="1"/>
  <c r="BU145" i="1" s="1"/>
  <c r="BU146" i="1" a="1"/>
  <c r="BU146" i="1" s="1"/>
  <c r="BU147" i="1" a="1"/>
  <c r="BU147" i="1" s="1"/>
  <c r="BU148" i="1" a="1"/>
  <c r="BU148" i="1" s="1"/>
  <c r="BU149" i="1" a="1"/>
  <c r="BU149" i="1" s="1"/>
  <c r="BU150" i="1" a="1"/>
  <c r="BU150" i="1" s="1"/>
  <c r="BU151" i="1" a="1"/>
  <c r="BU151" i="1" s="1"/>
  <c r="BU152" i="1" a="1"/>
  <c r="BU152" i="1" s="1"/>
  <c r="BU120" i="1" a="1"/>
  <c r="BU120" i="1" s="1"/>
  <c r="BU154" i="1" a="1"/>
  <c r="BU154" i="1" s="1"/>
  <c r="BU92" i="1" a="1"/>
  <c r="BU92" i="1" s="1"/>
  <c r="BU156" i="1" a="1"/>
  <c r="BU156" i="1" s="1"/>
  <c r="BU157" i="1" a="1"/>
  <c r="BU157" i="1" s="1"/>
  <c r="BU158" i="1" a="1"/>
  <c r="BU158" i="1" s="1"/>
  <c r="BU159" i="1" a="1"/>
  <c r="BU159" i="1" s="1"/>
  <c r="BU160" i="1" a="1"/>
  <c r="BU160" i="1" s="1"/>
  <c r="BU161" i="1" a="1"/>
  <c r="BU161" i="1" s="1"/>
  <c r="BU162" i="1" a="1"/>
  <c r="BU162" i="1" s="1"/>
  <c r="BU65" i="1" a="1"/>
  <c r="BU65" i="1" s="1"/>
  <c r="BU164" i="1" a="1"/>
  <c r="BU164" i="1" s="1"/>
  <c r="BU165" i="1" a="1"/>
  <c r="BU165" i="1" s="1"/>
  <c r="BU166" i="1" a="1"/>
  <c r="BU166" i="1" s="1"/>
  <c r="BU167" i="1" a="1"/>
  <c r="BU167" i="1" s="1"/>
  <c r="BU168" i="1" a="1"/>
  <c r="BU168" i="1" s="1"/>
  <c r="BU169" i="1" a="1"/>
  <c r="BU169" i="1" s="1"/>
  <c r="BU170" i="1" a="1"/>
  <c r="BU170" i="1" s="1"/>
  <c r="BU171" i="1" a="1"/>
  <c r="BU171" i="1" s="1"/>
  <c r="BU172" i="1" a="1"/>
  <c r="BU172" i="1" s="1"/>
  <c r="BU173" i="1" a="1"/>
  <c r="BU173" i="1" s="1"/>
  <c r="BU174" i="1" a="1"/>
  <c r="BU174" i="1" s="1"/>
  <c r="BU175" i="1" a="1"/>
  <c r="BU175" i="1" s="1"/>
  <c r="BU176" i="1" a="1"/>
  <c r="BU176" i="1" s="1"/>
  <c r="BU177" i="1" a="1"/>
  <c r="BU177" i="1" s="1"/>
  <c r="BU178" i="1" a="1"/>
  <c r="BU178" i="1" s="1"/>
  <c r="BU179" i="1" a="1"/>
  <c r="BU179" i="1" s="1"/>
  <c r="BU155" i="1" a="1"/>
  <c r="BU155" i="1" s="1"/>
  <c r="BU181" i="1" a="1"/>
  <c r="BU181" i="1" s="1"/>
  <c r="BU182" i="1" a="1"/>
  <c r="BU182" i="1" s="1"/>
  <c r="BU183" i="1" a="1"/>
  <c r="BU183" i="1" s="1"/>
  <c r="BU191" i="1" a="1"/>
  <c r="BU191" i="1" s="1"/>
  <c r="BU185" i="1" a="1"/>
  <c r="BU185" i="1" s="1"/>
  <c r="BU19" i="1" a="1"/>
  <c r="BU19" i="1" s="1"/>
  <c r="BU187" i="1" a="1"/>
  <c r="BU187" i="1" s="1"/>
  <c r="BU188" i="1" a="1"/>
  <c r="BU188" i="1" s="1"/>
  <c r="BU189" i="1" a="1"/>
  <c r="BU189" i="1" s="1"/>
  <c r="BU190" i="1" a="1"/>
  <c r="BU190" i="1" s="1"/>
  <c r="BU35" i="1" a="1"/>
  <c r="BU35" i="1" s="1"/>
  <c r="BU192" i="1" a="1"/>
  <c r="BU192" i="1" s="1"/>
  <c r="BU193" i="1" a="1"/>
  <c r="BU193" i="1" s="1"/>
  <c r="BU194" i="1" a="1"/>
  <c r="BU194" i="1" s="1"/>
  <c r="BU195" i="1" a="1"/>
  <c r="BU195" i="1" s="1"/>
  <c r="BU196" i="1" a="1"/>
  <c r="BU196" i="1" s="1"/>
  <c r="BU197" i="1" a="1"/>
  <c r="BU197" i="1" s="1"/>
  <c r="BU198" i="1" a="1"/>
  <c r="BU198" i="1" s="1"/>
  <c r="BU199" i="1" a="1"/>
  <c r="BU199" i="1" s="1"/>
  <c r="BU200" i="1" a="1"/>
  <c r="BU200" i="1" s="1"/>
  <c r="BU201" i="1" a="1"/>
  <c r="BU201" i="1" s="1"/>
  <c r="BU255" i="1" a="1"/>
  <c r="BU255" i="1" s="1"/>
  <c r="BU203" i="1" a="1"/>
  <c r="BU203" i="1" s="1"/>
  <c r="BU204" i="1" a="1"/>
  <c r="BU204" i="1" s="1"/>
  <c r="BU205" i="1" a="1"/>
  <c r="BU205" i="1" s="1"/>
  <c r="BU206" i="1" a="1"/>
  <c r="BU206" i="1" s="1"/>
  <c r="BU207" i="1" a="1"/>
  <c r="BU207" i="1" s="1"/>
  <c r="BU208" i="1" a="1"/>
  <c r="BU208" i="1" s="1"/>
  <c r="BU114" i="1" a="1"/>
  <c r="BU114" i="1" s="1"/>
  <c r="BU210" i="1" a="1"/>
  <c r="BU210" i="1" s="1"/>
  <c r="BU211" i="1" a="1"/>
  <c r="BU211" i="1" s="1"/>
  <c r="BU212" i="1" a="1"/>
  <c r="BU212" i="1" s="1"/>
  <c r="BU213" i="1" a="1"/>
  <c r="BU213" i="1" s="1"/>
  <c r="BU214" i="1" a="1"/>
  <c r="BU214" i="1" s="1"/>
  <c r="BU215" i="1" a="1"/>
  <c r="BU215" i="1" s="1"/>
  <c r="BU216" i="1" a="1"/>
  <c r="BU216" i="1" s="1"/>
  <c r="BU217" i="1" a="1"/>
  <c r="BU217" i="1" s="1"/>
  <c r="BU218" i="1" a="1"/>
  <c r="BU218" i="1" s="1"/>
  <c r="BU219" i="1" a="1"/>
  <c r="BU219" i="1" s="1"/>
  <c r="BU220" i="1" a="1"/>
  <c r="BU220" i="1" s="1"/>
  <c r="BU221" i="1" a="1"/>
  <c r="BU221" i="1" s="1"/>
  <c r="BU222" i="1" a="1"/>
  <c r="BU222" i="1" s="1"/>
  <c r="BU223" i="1" a="1"/>
  <c r="BU223" i="1" s="1"/>
  <c r="BU224" i="1" a="1"/>
  <c r="BU224" i="1" s="1"/>
  <c r="BU225" i="1" a="1"/>
  <c r="BU225" i="1" s="1"/>
  <c r="BU226" i="1" a="1"/>
  <c r="BU226" i="1" s="1"/>
  <c r="BU227" i="1" a="1"/>
  <c r="BU227" i="1" s="1"/>
  <c r="BU228" i="1" a="1"/>
  <c r="BU228" i="1" s="1"/>
  <c r="BU229" i="1" a="1"/>
  <c r="BU229" i="1" s="1"/>
  <c r="BU230" i="1" a="1"/>
  <c r="BU230" i="1" s="1"/>
  <c r="BU231" i="1" a="1"/>
  <c r="BU231" i="1" s="1"/>
  <c r="BU232" i="1" a="1"/>
  <c r="BU232" i="1" s="1"/>
  <c r="BU233" i="1" a="1"/>
  <c r="BU233" i="1" s="1"/>
  <c r="BU234" i="1" a="1"/>
  <c r="BU234" i="1" s="1"/>
  <c r="BU235" i="1" a="1"/>
  <c r="BU235" i="1" s="1"/>
  <c r="BU236" i="1" a="1"/>
  <c r="BU236" i="1" s="1"/>
  <c r="BU237" i="1" a="1"/>
  <c r="BU237" i="1" s="1"/>
  <c r="BU238" i="1" a="1"/>
  <c r="BU238" i="1" s="1"/>
  <c r="BU239" i="1" a="1"/>
  <c r="BU239" i="1" s="1"/>
  <c r="BU240" i="1" a="1"/>
  <c r="BU240" i="1" s="1"/>
  <c r="BU241" i="1" a="1"/>
  <c r="BU241" i="1" s="1"/>
  <c r="BU242" i="1" a="1"/>
  <c r="BU242" i="1" s="1"/>
  <c r="BU243" i="1" a="1"/>
  <c r="BU243" i="1" s="1"/>
  <c r="BU244" i="1" a="1"/>
  <c r="BU244" i="1" s="1"/>
  <c r="BU245" i="1" a="1"/>
  <c r="BU245" i="1" s="1"/>
  <c r="BU246" i="1" a="1"/>
  <c r="BU246" i="1" s="1"/>
  <c r="BU247" i="1" a="1"/>
  <c r="BU247" i="1" s="1"/>
  <c r="BU248" i="1" a="1"/>
  <c r="BU248" i="1" s="1"/>
  <c r="BU249" i="1" a="1"/>
  <c r="BU249" i="1" s="1"/>
  <c r="BU250" i="1" a="1"/>
  <c r="BU250" i="1" s="1"/>
  <c r="BU251" i="1" a="1"/>
  <c r="BU251" i="1" s="1"/>
  <c r="BU252" i="1" a="1"/>
  <c r="BU252" i="1" s="1"/>
  <c r="BU253" i="1" a="1"/>
  <c r="BU253" i="1" s="1"/>
  <c r="BU254" i="1" a="1"/>
  <c r="BU254" i="1" s="1"/>
  <c r="BU202" i="1" a="1"/>
  <c r="BU202" i="1" s="1"/>
  <c r="BU256" i="1" a="1"/>
  <c r="BU256" i="1" s="1"/>
  <c r="BU257" i="1" a="1"/>
  <c r="BU257" i="1" s="1"/>
  <c r="BU258" i="1" a="1"/>
  <c r="BU258" i="1" s="1"/>
  <c r="BU259" i="1" a="1"/>
  <c r="BU259" i="1" s="1"/>
  <c r="BU260" i="1" a="1"/>
  <c r="BU260" i="1" s="1"/>
  <c r="BU261" i="1" a="1"/>
  <c r="BU261" i="1" s="1"/>
  <c r="BU262" i="1" a="1"/>
  <c r="BU262" i="1" s="1"/>
  <c r="BU263" i="1" a="1"/>
  <c r="BU263" i="1" s="1"/>
  <c r="BU264" i="1" a="1"/>
  <c r="BU264" i="1" s="1"/>
  <c r="BU265" i="1" a="1"/>
  <c r="BU265" i="1" s="1"/>
  <c r="BU266" i="1" a="1"/>
  <c r="BU266" i="1" s="1"/>
  <c r="BU267" i="1" a="1"/>
  <c r="BU267" i="1" s="1"/>
  <c r="BU268" i="1" a="1"/>
  <c r="BU268" i="1" s="1"/>
  <c r="BU269" i="1" a="1"/>
  <c r="BU269" i="1" s="1"/>
  <c r="BU270" i="1" a="1"/>
  <c r="BU270" i="1" s="1"/>
  <c r="BU271" i="1" a="1"/>
  <c r="BU271" i="1" s="1"/>
  <c r="BL9" i="1" a="1"/>
  <c r="BL9" i="1" s="1"/>
  <c r="BY9" i="1" s="1"/>
  <c r="BL10" i="1" a="1"/>
  <c r="BL10" i="1" s="1"/>
  <c r="BY10" i="1" s="1"/>
  <c r="BL11" i="1" a="1"/>
  <c r="BL11" i="1" s="1"/>
  <c r="BY11" i="1" s="1"/>
  <c r="BL12" i="1" a="1"/>
  <c r="BL12" i="1" s="1"/>
  <c r="BY12" i="1" s="1"/>
  <c r="BL13" i="1" a="1"/>
  <c r="BL13" i="1" s="1"/>
  <c r="BY13" i="1" s="1"/>
  <c r="BL15" i="1" a="1"/>
  <c r="BL15" i="1" s="1"/>
  <c r="BY15" i="1" s="1"/>
  <c r="BL16" i="1" a="1"/>
  <c r="BL16" i="1" s="1"/>
  <c r="BY16" i="1" s="1"/>
  <c r="BL17" i="1" a="1"/>
  <c r="BL17" i="1" s="1"/>
  <c r="BY17" i="1" s="1"/>
  <c r="BL18" i="1" a="1"/>
  <c r="BL18" i="1" s="1"/>
  <c r="BY18" i="1" s="1"/>
  <c r="BL20" i="1" a="1"/>
  <c r="BL20" i="1" s="1"/>
  <c r="BY20" i="1" s="1"/>
  <c r="BL21" i="1" a="1"/>
  <c r="BL21" i="1" s="1"/>
  <c r="BY21" i="1" s="1"/>
  <c r="BL55" i="1" a="1"/>
  <c r="BL55" i="1" s="1"/>
  <c r="BY55" i="1" s="1"/>
  <c r="DW8" i="1" l="1"/>
  <c r="BW9" i="1"/>
  <c r="BW245" i="1"/>
  <c r="BW65" i="1"/>
  <c r="BW7" i="1"/>
  <c r="BW55" i="1"/>
  <c r="BW17" i="1"/>
  <c r="BW12" i="1"/>
  <c r="BW8" i="1"/>
  <c r="BW132" i="1"/>
  <c r="BW13" i="1"/>
  <c r="BW14" i="1"/>
  <c r="BW238" i="1"/>
  <c r="BW18" i="1"/>
  <c r="BW21" i="1"/>
  <c r="BW16" i="1"/>
  <c r="BW11" i="1"/>
  <c r="BW20" i="1"/>
  <c r="BW15" i="1"/>
  <c r="BW10" i="1"/>
  <c r="BW236" i="1"/>
  <c r="BW22" i="1"/>
  <c r="BW121" i="1"/>
  <c r="EG13" i="1"/>
  <c r="EI13" i="1" s="1"/>
  <c r="EK13" i="1" s="1"/>
  <c r="EG7" i="1"/>
  <c r="EI7" i="1" s="1"/>
  <c r="EK7" i="1" s="1"/>
  <c r="EG55" i="1"/>
  <c r="EI55" i="1" s="1"/>
  <c r="EK55" i="1" s="1"/>
  <c r="EG21" i="1"/>
  <c r="EI21" i="1" s="1"/>
  <c r="EK21" i="1" s="1"/>
  <c r="EG16" i="1"/>
  <c r="EI16" i="1" s="1"/>
  <c r="EK16" i="1" s="1"/>
  <c r="EG12" i="1"/>
  <c r="EI12" i="1" s="1"/>
  <c r="EK12" i="1" s="1"/>
  <c r="EG245" i="1"/>
  <c r="EI245" i="1" s="1"/>
  <c r="EK245" i="1" s="1"/>
  <c r="EG17" i="1"/>
  <c r="EI17" i="1" s="1"/>
  <c r="EK17" i="1" s="1"/>
  <c r="EG20" i="1"/>
  <c r="EI20" i="1" s="1"/>
  <c r="EK20" i="1" s="1"/>
  <c r="EG14" i="1"/>
  <c r="EI14" i="1" s="1"/>
  <c r="EK14" i="1" s="1"/>
  <c r="EG8" i="1"/>
  <c r="EI8" i="1" s="1"/>
  <c r="EK8" i="1" s="1"/>
  <c r="EG132" i="1"/>
  <c r="EI132" i="1" s="1"/>
  <c r="EK132" i="1" s="1"/>
  <c r="EG9" i="1"/>
  <c r="EI9" i="1" s="1"/>
  <c r="EK9" i="1" s="1"/>
  <c r="EG65" i="1"/>
  <c r="EI65" i="1" s="1"/>
  <c r="EK65" i="1" s="1"/>
  <c r="EG15" i="1"/>
  <c r="EI15" i="1" s="1"/>
  <c r="EK15" i="1" s="1"/>
  <c r="EG11" i="1"/>
  <c r="EI11" i="1" s="1"/>
  <c r="EK11" i="1" s="1"/>
  <c r="EG18" i="1"/>
  <c r="EI18" i="1" s="1"/>
  <c r="EK18" i="1" s="1"/>
  <c r="EG10" i="1"/>
  <c r="EI10" i="1" s="1"/>
  <c r="EK10" i="1" s="1"/>
  <c r="EG236" i="1"/>
  <c r="EI236" i="1" s="1"/>
  <c r="EK236" i="1" s="1"/>
  <c r="EG22" i="1"/>
  <c r="EI22" i="1" s="1"/>
  <c r="EK22" i="1" s="1"/>
  <c r="EG238" i="1"/>
  <c r="EI238" i="1" s="1"/>
  <c r="EK238" i="1" s="1"/>
  <c r="EG121" i="1"/>
  <c r="EI121" i="1" s="1"/>
  <c r="EK121" i="1" s="1"/>
  <c r="EG186" i="1"/>
  <c r="EI186" i="1" s="1"/>
  <c r="EK186" i="1" s="1"/>
  <c r="EI90" i="1"/>
  <c r="EK90"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124" i="1" a="1"/>
  <c r="BP124" i="1" s="1"/>
  <c r="BP163" i="1" a="1"/>
  <c r="BP163" i="1" s="1"/>
  <c r="BP91" i="1" a="1"/>
  <c r="BP91" i="1" s="1"/>
  <c r="BP180" i="1" a="1"/>
  <c r="BP180"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89" i="1" a="1"/>
  <c r="BP89" i="1" s="1"/>
  <c r="BP115" i="1" a="1"/>
  <c r="BP115" i="1" s="1"/>
  <c r="BP116" i="1" a="1"/>
  <c r="BP116" i="1" s="1"/>
  <c r="BP117" i="1" a="1"/>
  <c r="BP117" i="1" s="1"/>
  <c r="BP118" i="1" a="1"/>
  <c r="BP118" i="1" s="1"/>
  <c r="BP119" i="1" a="1"/>
  <c r="BP119" i="1" s="1"/>
  <c r="BP67" i="1" a="1"/>
  <c r="BP67" i="1" s="1"/>
  <c r="BP70" i="1" a="1"/>
  <c r="BP70" i="1" s="1"/>
  <c r="BP122" i="1" a="1"/>
  <c r="BP122" i="1" s="1"/>
  <c r="BP123" i="1" a="1"/>
  <c r="BP123" i="1" s="1"/>
  <c r="BP153" i="1" a="1"/>
  <c r="BP153" i="1" s="1"/>
  <c r="BP125" i="1" a="1"/>
  <c r="BP125" i="1" s="1"/>
  <c r="BP126" i="1" a="1"/>
  <c r="BP126" i="1" s="1"/>
  <c r="BP14" i="1" a="1"/>
  <c r="BP14"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20" i="1" a="1"/>
  <c r="BP120" i="1" s="1"/>
  <c r="BP154" i="1" a="1"/>
  <c r="BP154" i="1" s="1"/>
  <c r="BP92" i="1" a="1"/>
  <c r="BP92" i="1" s="1"/>
  <c r="BP156" i="1" a="1"/>
  <c r="BP156" i="1" s="1"/>
  <c r="BP157" i="1" a="1"/>
  <c r="BP157" i="1" s="1"/>
  <c r="BP158" i="1" a="1"/>
  <c r="BP158" i="1" s="1"/>
  <c r="BP159" i="1" a="1"/>
  <c r="BP159" i="1" s="1"/>
  <c r="BP160" i="1" a="1"/>
  <c r="BP160" i="1" s="1"/>
  <c r="BP161" i="1" a="1"/>
  <c r="BP161" i="1" s="1"/>
  <c r="BP162" i="1" a="1"/>
  <c r="BP162" i="1" s="1"/>
  <c r="BP65" i="1" a="1"/>
  <c r="BP65"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55" i="1" a="1"/>
  <c r="BP155" i="1" s="1"/>
  <c r="BP181" i="1" a="1"/>
  <c r="BP181" i="1" s="1"/>
  <c r="BP182" i="1" a="1"/>
  <c r="BP182" i="1" s="1"/>
  <c r="BP183" i="1" a="1"/>
  <c r="BP183" i="1" s="1"/>
  <c r="BP191" i="1" a="1"/>
  <c r="BP191" i="1" s="1"/>
  <c r="BP185" i="1" a="1"/>
  <c r="BP185" i="1" s="1"/>
  <c r="BP19" i="1" a="1"/>
  <c r="BP19" i="1" s="1"/>
  <c r="BP187" i="1" a="1"/>
  <c r="BP187" i="1" s="1"/>
  <c r="BP188" i="1" a="1"/>
  <c r="BP188" i="1" s="1"/>
  <c r="BP189" i="1" a="1"/>
  <c r="BP189" i="1" s="1"/>
  <c r="BP190" i="1" a="1"/>
  <c r="BP190" i="1" s="1"/>
  <c r="BP35" i="1" a="1"/>
  <c r="BP35"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55" i="1" a="1"/>
  <c r="BP255" i="1" s="1"/>
  <c r="BP203" i="1" a="1"/>
  <c r="BP203" i="1" s="1"/>
  <c r="BP204" i="1" a="1"/>
  <c r="BP204" i="1" s="1"/>
  <c r="BP205" i="1" a="1"/>
  <c r="BP205" i="1" s="1"/>
  <c r="BP206" i="1" a="1"/>
  <c r="BP206" i="1" s="1"/>
  <c r="BP207" i="1" a="1"/>
  <c r="BP207" i="1" s="1"/>
  <c r="BP208" i="1" a="1"/>
  <c r="BP208" i="1" s="1"/>
  <c r="BP114" i="1" a="1"/>
  <c r="BP114"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02" i="1" a="1"/>
  <c r="BP202"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P6" i="1" a="1"/>
  <c r="BP6" i="1" s="1"/>
  <c r="BP7" i="1" a="1"/>
  <c r="BP7" i="1" s="1"/>
  <c r="BP8" i="1" a="1"/>
  <c r="BP8" i="1" s="1"/>
  <c r="BP9" i="1" a="1"/>
  <c r="BP9" i="1" s="1"/>
  <c r="BP10" i="1" a="1"/>
  <c r="BP10" i="1" s="1"/>
  <c r="BP11" i="1" a="1"/>
  <c r="BP11" i="1" s="1"/>
  <c r="BP12" i="1" a="1"/>
  <c r="BP12" i="1" s="1"/>
  <c r="BP13" i="1" a="1"/>
  <c r="BP13" i="1" s="1"/>
  <c r="BP15" i="1" a="1"/>
  <c r="BP15" i="1" s="1"/>
  <c r="BP16" i="1" a="1"/>
  <c r="BP16" i="1" s="1"/>
  <c r="BP17" i="1" a="1"/>
  <c r="BP17" i="1" s="1"/>
  <c r="BP18" i="1" a="1"/>
  <c r="BP18" i="1" s="1"/>
  <c r="BP90" i="1" a="1"/>
  <c r="BP90"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209" i="1" a="1"/>
  <c r="BP209"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127" i="1" a="1"/>
  <c r="BP127" i="1" s="1"/>
  <c r="BP66" i="1" a="1"/>
  <c r="BP66" i="1" s="1"/>
  <c r="BP121" i="1" a="1"/>
  <c r="BP121" i="1" s="1"/>
  <c r="BP68" i="1" a="1"/>
  <c r="BP68" i="1" s="1"/>
  <c r="BP69" i="1" a="1"/>
  <c r="BP69" i="1" s="1"/>
  <c r="BP184" i="1" a="1"/>
  <c r="BP184" i="1" s="1"/>
  <c r="BP71" i="1" a="1"/>
  <c r="BP71" i="1" s="1"/>
  <c r="BP72" i="1" a="1"/>
  <c r="BP72" i="1" s="1"/>
  <c r="DK6" i="1" a="1"/>
  <c r="DK6" i="1" s="1"/>
  <c r="CJ6" i="1" l="1"/>
  <c r="CN6" i="1" l="1"/>
  <c r="CK6" i="1"/>
  <c r="CO6" i="1"/>
  <c r="CL6" i="1"/>
  <c r="CP6" i="1"/>
  <c r="DW180" i="1"/>
  <c r="CQ6" i="1" l="1" a="1"/>
  <c r="CQ6" i="1" s="1"/>
  <c r="CR6" i="1" a="1"/>
  <c r="CR6" i="1" s="1"/>
  <c r="DW90" i="1"/>
  <c r="CS6" i="1" l="1"/>
  <c r="CT6" i="1" l="1"/>
  <c r="DG6" i="1"/>
  <c r="CZ6" i="1"/>
  <c r="DA6" i="1"/>
  <c r="DC6" i="1"/>
  <c r="DB6" i="1"/>
  <c r="CX6" i="1"/>
  <c r="CY6" i="1"/>
  <c r="DE6" i="1"/>
  <c r="CW6" i="1"/>
  <c r="CV6" i="1"/>
  <c r="DD6" i="1"/>
  <c r="DF6" i="1"/>
  <c r="CU6" i="1"/>
  <c r="DJ6" i="1" l="1" a="1"/>
  <c r="DJ6" i="1" s="1"/>
  <c r="DI6" i="1" a="1"/>
  <c r="DI6" i="1" s="1"/>
  <c r="DV6" i="1" l="1"/>
  <c r="DM6" i="1"/>
  <c r="DN6" i="1"/>
  <c r="DL6" i="1" l="1"/>
  <c r="DK7" i="1" a="1"/>
  <c r="DK7" i="1" s="1"/>
  <c r="DK8" i="1" a="1"/>
  <c r="DK8" i="1" s="1"/>
  <c r="DK9" i="1" a="1"/>
  <c r="DK9" i="1" s="1"/>
  <c r="DK10" i="1" a="1"/>
  <c r="DK10" i="1" s="1"/>
  <c r="DK11" i="1" a="1"/>
  <c r="DK11" i="1" s="1"/>
  <c r="DK12" i="1" a="1"/>
  <c r="DK12" i="1" s="1"/>
  <c r="DK13" i="1" a="1"/>
  <c r="DK13" i="1" s="1"/>
  <c r="DK186" i="1" a="1"/>
  <c r="DK186" i="1" s="1"/>
  <c r="DK15" i="1" a="1"/>
  <c r="DK15" i="1" s="1"/>
  <c r="DK16" i="1" a="1"/>
  <c r="DK16" i="1" s="1"/>
  <c r="DK17" i="1" a="1"/>
  <c r="DK17" i="1" s="1"/>
  <c r="DK18" i="1" a="1"/>
  <c r="DK18" i="1" s="1"/>
  <c r="DK90" i="1" a="1"/>
  <c r="DK90" i="1" s="1"/>
  <c r="DK20" i="1" a="1"/>
  <c r="DK20" i="1" s="1"/>
  <c r="DK21" i="1" a="1"/>
  <c r="DK21" i="1" s="1"/>
  <c r="DK22" i="1" a="1"/>
  <c r="DK22" i="1" s="1"/>
  <c r="DK23" i="1" a="1"/>
  <c r="DK23" i="1" s="1"/>
  <c r="DK24" i="1" a="1"/>
  <c r="DK24" i="1" s="1"/>
  <c r="DK25" i="1" a="1"/>
  <c r="DK25" i="1" s="1"/>
  <c r="DK26" i="1" a="1"/>
  <c r="DK26" i="1" s="1"/>
  <c r="DK27" i="1" a="1"/>
  <c r="DK27" i="1" s="1"/>
  <c r="DK28" i="1" a="1"/>
  <c r="DK28" i="1" s="1"/>
  <c r="DK29" i="1" a="1"/>
  <c r="DK29" i="1" s="1"/>
  <c r="DK30" i="1" a="1"/>
  <c r="DK30" i="1" s="1"/>
  <c r="DK31" i="1" a="1"/>
  <c r="DK31" i="1" s="1"/>
  <c r="DK32" i="1" a="1"/>
  <c r="DK32" i="1" s="1"/>
  <c r="DK33" i="1" a="1"/>
  <c r="DK33" i="1" s="1"/>
  <c r="DK34" i="1" a="1"/>
  <c r="DK34" i="1" s="1"/>
  <c r="DK209" i="1" a="1"/>
  <c r="DK209" i="1" s="1"/>
  <c r="DK36" i="1" a="1"/>
  <c r="DK36" i="1" s="1"/>
  <c r="DK37" i="1" a="1"/>
  <c r="DK37" i="1" s="1"/>
  <c r="DK38" i="1" a="1"/>
  <c r="DK38" i="1" s="1"/>
  <c r="DK39" i="1" a="1"/>
  <c r="DK39" i="1" s="1"/>
  <c r="DK40" i="1" a="1"/>
  <c r="DK40" i="1" s="1"/>
  <c r="DK41" i="1" a="1"/>
  <c r="DK41" i="1" s="1"/>
  <c r="DK42" i="1" a="1"/>
  <c r="DK42" i="1" s="1"/>
  <c r="DK43" i="1" a="1"/>
  <c r="DK43" i="1" s="1"/>
  <c r="DK44" i="1" a="1"/>
  <c r="DK44" i="1" s="1"/>
  <c r="DK45" i="1" a="1"/>
  <c r="DK45" i="1" s="1"/>
  <c r="DK46" i="1" a="1"/>
  <c r="DK46" i="1" s="1"/>
  <c r="DK47" i="1" a="1"/>
  <c r="DK47" i="1" s="1"/>
  <c r="DK48" i="1" a="1"/>
  <c r="DK48" i="1" s="1"/>
  <c r="DK49" i="1" a="1"/>
  <c r="DK49" i="1" s="1"/>
  <c r="DK50" i="1" a="1"/>
  <c r="DK50" i="1" s="1"/>
  <c r="DK51" i="1" a="1"/>
  <c r="DK51" i="1" s="1"/>
  <c r="DK52" i="1" a="1"/>
  <c r="DK52" i="1" s="1"/>
  <c r="DK53" i="1" a="1"/>
  <c r="DK53" i="1" s="1"/>
  <c r="DK54" i="1" a="1"/>
  <c r="DK54" i="1" s="1"/>
  <c r="DK55" i="1" a="1"/>
  <c r="DK55" i="1" s="1"/>
  <c r="DK56" i="1" a="1"/>
  <c r="DK56" i="1" s="1"/>
  <c r="DK57" i="1" a="1"/>
  <c r="DK57" i="1" s="1"/>
  <c r="DK58" i="1" a="1"/>
  <c r="DK58" i="1" s="1"/>
  <c r="DK59" i="1" a="1"/>
  <c r="DK59" i="1" s="1"/>
  <c r="DK60" i="1" a="1"/>
  <c r="DK60" i="1" s="1"/>
  <c r="DK61" i="1" a="1"/>
  <c r="DK61" i="1" s="1"/>
  <c r="DK62" i="1" a="1"/>
  <c r="DK62" i="1" s="1"/>
  <c r="DK63" i="1" a="1"/>
  <c r="DK63" i="1" s="1"/>
  <c r="DK64" i="1" a="1"/>
  <c r="DK64" i="1" s="1"/>
  <c r="DK127" i="1" a="1"/>
  <c r="DK127" i="1" s="1"/>
  <c r="DK66" i="1" a="1"/>
  <c r="DK66" i="1" s="1"/>
  <c r="DK121" i="1" a="1"/>
  <c r="DK121" i="1" s="1"/>
  <c r="DK68" i="1" a="1"/>
  <c r="DK68" i="1" s="1"/>
  <c r="DK69" i="1" a="1"/>
  <c r="DK69" i="1" s="1"/>
  <c r="DK184" i="1" a="1"/>
  <c r="DK184" i="1" s="1"/>
  <c r="DK71" i="1" a="1"/>
  <c r="DK71" i="1" s="1"/>
  <c r="DK72" i="1" a="1"/>
  <c r="DK72" i="1" s="1"/>
  <c r="DK73" i="1" a="1"/>
  <c r="DK73" i="1" s="1"/>
  <c r="DK74" i="1" a="1"/>
  <c r="DK74" i="1" s="1"/>
  <c r="DK75" i="1" a="1"/>
  <c r="DK75" i="1" s="1"/>
  <c r="DK76" i="1" a="1"/>
  <c r="DK76" i="1" s="1"/>
  <c r="DK77" i="1" a="1"/>
  <c r="DK77" i="1" s="1"/>
  <c r="DK78" i="1" a="1"/>
  <c r="DK78" i="1" s="1"/>
  <c r="DK79" i="1" a="1"/>
  <c r="DK79" i="1" s="1"/>
  <c r="DK80" i="1" a="1"/>
  <c r="DK80" i="1" s="1"/>
  <c r="DK81" i="1" a="1"/>
  <c r="DK81" i="1" s="1"/>
  <c r="DK82" i="1" a="1"/>
  <c r="DK82" i="1" s="1"/>
  <c r="DK83" i="1" a="1"/>
  <c r="DK83" i="1" s="1"/>
  <c r="DK84" i="1" a="1"/>
  <c r="DK84" i="1" s="1"/>
  <c r="DK85" i="1" a="1"/>
  <c r="DK85" i="1" s="1"/>
  <c r="DK86" i="1" a="1"/>
  <c r="DK86" i="1" s="1"/>
  <c r="DK87" i="1" a="1"/>
  <c r="DK87" i="1" s="1"/>
  <c r="DK88" i="1" a="1"/>
  <c r="DK88" i="1" s="1"/>
  <c r="DK124" i="1" a="1"/>
  <c r="DK124" i="1" s="1"/>
  <c r="DK163" i="1" a="1"/>
  <c r="DK163" i="1" s="1"/>
  <c r="DK91" i="1" a="1"/>
  <c r="DK91" i="1" s="1"/>
  <c r="DK93" i="1" a="1"/>
  <c r="DK93" i="1" s="1"/>
  <c r="DK94" i="1" a="1"/>
  <c r="DK94" i="1" s="1"/>
  <c r="DK95" i="1" a="1"/>
  <c r="DK95" i="1" s="1"/>
  <c r="DK96" i="1" a="1"/>
  <c r="DK96" i="1" s="1"/>
  <c r="DK97" i="1" a="1"/>
  <c r="DK97" i="1" s="1"/>
  <c r="DK98" i="1" a="1"/>
  <c r="DK98" i="1" s="1"/>
  <c r="DK99" i="1" a="1"/>
  <c r="DK99" i="1" s="1"/>
  <c r="DK100" i="1" a="1"/>
  <c r="DK100" i="1" s="1"/>
  <c r="DK101" i="1" a="1"/>
  <c r="DK101" i="1" s="1"/>
  <c r="DK102" i="1" a="1"/>
  <c r="DK102" i="1" s="1"/>
  <c r="DK103" i="1" a="1"/>
  <c r="DK103" i="1" s="1"/>
  <c r="DK104" i="1" a="1"/>
  <c r="DK104" i="1" s="1"/>
  <c r="DK105" i="1" a="1"/>
  <c r="DK105" i="1" s="1"/>
  <c r="DK106" i="1" a="1"/>
  <c r="DK106" i="1" s="1"/>
  <c r="DK107" i="1" a="1"/>
  <c r="DK107" i="1" s="1"/>
  <c r="DK108" i="1" a="1"/>
  <c r="DK108" i="1" s="1"/>
  <c r="DK109" i="1" a="1"/>
  <c r="DK109" i="1" s="1"/>
  <c r="DK110" i="1" a="1"/>
  <c r="DK110" i="1" s="1"/>
  <c r="DK111" i="1" a="1"/>
  <c r="DK111" i="1" s="1"/>
  <c r="DK112" i="1" a="1"/>
  <c r="DK112" i="1" s="1"/>
  <c r="DK113" i="1" a="1"/>
  <c r="DK113" i="1" s="1"/>
  <c r="DK89" i="1" a="1"/>
  <c r="DK89" i="1" s="1"/>
  <c r="DK115" i="1" a="1"/>
  <c r="DK115" i="1" s="1"/>
  <c r="DK116" i="1" a="1"/>
  <c r="DK116" i="1" s="1"/>
  <c r="DK117" i="1" a="1"/>
  <c r="DK117" i="1" s="1"/>
  <c r="DK118" i="1" a="1"/>
  <c r="DK118" i="1" s="1"/>
  <c r="DK119" i="1" a="1"/>
  <c r="DK119" i="1" s="1"/>
  <c r="DK67" i="1" a="1"/>
  <c r="DK67" i="1" s="1"/>
  <c r="DK70" i="1" a="1"/>
  <c r="DK70" i="1" s="1"/>
  <c r="DK122" i="1" a="1"/>
  <c r="DK122" i="1" s="1"/>
  <c r="DK123" i="1" a="1"/>
  <c r="DK123" i="1" s="1"/>
  <c r="DK153" i="1" a="1"/>
  <c r="DK153" i="1" s="1"/>
  <c r="DK125" i="1" a="1"/>
  <c r="DK125" i="1" s="1"/>
  <c r="DK126" i="1" a="1"/>
  <c r="DK126" i="1" s="1"/>
  <c r="DK14" i="1" a="1"/>
  <c r="DK14" i="1" s="1"/>
  <c r="DK128" i="1" a="1"/>
  <c r="DK128" i="1" s="1"/>
  <c r="DK129" i="1" a="1"/>
  <c r="DK129" i="1" s="1"/>
  <c r="DK130" i="1" a="1"/>
  <c r="DK130" i="1" s="1"/>
  <c r="DK131" i="1" a="1"/>
  <c r="DK131" i="1" s="1"/>
  <c r="DK132" i="1" a="1"/>
  <c r="DK132" i="1" s="1"/>
  <c r="DK133" i="1" a="1"/>
  <c r="DK133" i="1" s="1"/>
  <c r="DK134" i="1" a="1"/>
  <c r="DK134" i="1" s="1"/>
  <c r="DK135" i="1" a="1"/>
  <c r="DK135" i="1" s="1"/>
  <c r="DK136" i="1" a="1"/>
  <c r="DK136" i="1" s="1"/>
  <c r="DK137" i="1" a="1"/>
  <c r="DK137" i="1" s="1"/>
  <c r="DK138" i="1" a="1"/>
  <c r="DK138" i="1" s="1"/>
  <c r="DK139" i="1" a="1"/>
  <c r="DK139" i="1" s="1"/>
  <c r="DK140" i="1" a="1"/>
  <c r="DK140" i="1" s="1"/>
  <c r="DK141" i="1" a="1"/>
  <c r="DK141" i="1" s="1"/>
  <c r="DK142" i="1" a="1"/>
  <c r="DK142" i="1" s="1"/>
  <c r="DK143" i="1" a="1"/>
  <c r="DK143" i="1" s="1"/>
  <c r="DK144" i="1" a="1"/>
  <c r="DK144" i="1" s="1"/>
  <c r="DK145" i="1" a="1"/>
  <c r="DK145" i="1" s="1"/>
  <c r="DK146" i="1" a="1"/>
  <c r="DK146" i="1" s="1"/>
  <c r="DK147" i="1" a="1"/>
  <c r="DK147" i="1" s="1"/>
  <c r="DK148" i="1" a="1"/>
  <c r="DK148" i="1" s="1"/>
  <c r="DK149" i="1" a="1"/>
  <c r="DK149" i="1" s="1"/>
  <c r="DK150" i="1" a="1"/>
  <c r="DK150" i="1" s="1"/>
  <c r="DK151" i="1" a="1"/>
  <c r="DK151" i="1" s="1"/>
  <c r="DK152" i="1" a="1"/>
  <c r="DK152" i="1" s="1"/>
  <c r="DK120" i="1" a="1"/>
  <c r="DK120" i="1" s="1"/>
  <c r="DK154" i="1" a="1"/>
  <c r="DK154" i="1" s="1"/>
  <c r="DK92" i="1" a="1"/>
  <c r="DK92" i="1" s="1"/>
  <c r="DK156" i="1" a="1"/>
  <c r="DK156" i="1" s="1"/>
  <c r="DK157" i="1" a="1"/>
  <c r="DK157" i="1" s="1"/>
  <c r="DK158" i="1" a="1"/>
  <c r="DK158" i="1" s="1"/>
  <c r="DK159" i="1" a="1"/>
  <c r="DK159" i="1" s="1"/>
  <c r="DK160" i="1" a="1"/>
  <c r="DK160" i="1" s="1"/>
  <c r="DK161" i="1" a="1"/>
  <c r="DK161" i="1" s="1"/>
  <c r="DK162" i="1" a="1"/>
  <c r="DK162" i="1" s="1"/>
  <c r="DK65" i="1" a="1"/>
  <c r="DK65" i="1" s="1"/>
  <c r="DK164" i="1" a="1"/>
  <c r="DK164" i="1" s="1"/>
  <c r="DK165" i="1" a="1"/>
  <c r="DK165" i="1" s="1"/>
  <c r="DK166" i="1" a="1"/>
  <c r="DK166" i="1" s="1"/>
  <c r="DK167" i="1" a="1"/>
  <c r="DK167" i="1" s="1"/>
  <c r="DK168" i="1" a="1"/>
  <c r="DK168" i="1" s="1"/>
  <c r="DK169" i="1" a="1"/>
  <c r="DK169" i="1" s="1"/>
  <c r="DK170" i="1" a="1"/>
  <c r="DK170" i="1" s="1"/>
  <c r="DK171" i="1" a="1"/>
  <c r="DK171" i="1" s="1"/>
  <c r="DK172" i="1" a="1"/>
  <c r="DK172" i="1" s="1"/>
  <c r="DK173" i="1" a="1"/>
  <c r="DK173" i="1" s="1"/>
  <c r="DK174" i="1" a="1"/>
  <c r="DK174" i="1" s="1"/>
  <c r="DK175" i="1" a="1"/>
  <c r="DK175" i="1" s="1"/>
  <c r="DK176" i="1" a="1"/>
  <c r="DK176" i="1" s="1"/>
  <c r="DK177" i="1" a="1"/>
  <c r="DK177" i="1" s="1"/>
  <c r="DK178" i="1" a="1"/>
  <c r="DK178" i="1" s="1"/>
  <c r="DK179" i="1" a="1"/>
  <c r="DK179" i="1" s="1"/>
  <c r="DK155" i="1" a="1"/>
  <c r="DK155" i="1" s="1"/>
  <c r="DK181" i="1" a="1"/>
  <c r="DK181" i="1" s="1"/>
  <c r="DK182" i="1" a="1"/>
  <c r="DK182" i="1" s="1"/>
  <c r="DK183" i="1" a="1"/>
  <c r="DK183" i="1" s="1"/>
  <c r="DK191" i="1" a="1"/>
  <c r="DK191" i="1" s="1"/>
  <c r="DK185" i="1" a="1"/>
  <c r="DK185" i="1" s="1"/>
  <c r="DK19" i="1" a="1"/>
  <c r="DK19" i="1" s="1"/>
  <c r="DK187" i="1" a="1"/>
  <c r="DK187" i="1" s="1"/>
  <c r="DK188" i="1" a="1"/>
  <c r="DK188" i="1" s="1"/>
  <c r="DK189" i="1" a="1"/>
  <c r="DK189" i="1" s="1"/>
  <c r="DK190" i="1" a="1"/>
  <c r="DK190" i="1" s="1"/>
  <c r="DK35" i="1" a="1"/>
  <c r="DK35" i="1" s="1"/>
  <c r="DK192" i="1" a="1"/>
  <c r="DK192" i="1" s="1"/>
  <c r="DK193" i="1" a="1"/>
  <c r="DK193" i="1" s="1"/>
  <c r="DK194" i="1" a="1"/>
  <c r="DK194" i="1" s="1"/>
  <c r="DK195" i="1" a="1"/>
  <c r="DK195" i="1" s="1"/>
  <c r="DK196" i="1" a="1"/>
  <c r="DK196" i="1" s="1"/>
  <c r="DK197" i="1" a="1"/>
  <c r="DK197" i="1" s="1"/>
  <c r="DK198" i="1" a="1"/>
  <c r="DK198" i="1" s="1"/>
  <c r="DK199" i="1" a="1"/>
  <c r="DK199" i="1" s="1"/>
  <c r="DK200" i="1" a="1"/>
  <c r="DK200" i="1" s="1"/>
  <c r="DK201" i="1" a="1"/>
  <c r="DK201" i="1" s="1"/>
  <c r="DK255" i="1" a="1"/>
  <c r="DK255" i="1" s="1"/>
  <c r="DK203" i="1" a="1"/>
  <c r="DK203" i="1" s="1"/>
  <c r="DK204" i="1" a="1"/>
  <c r="DK204" i="1" s="1"/>
  <c r="DK205" i="1" a="1"/>
  <c r="DK205" i="1" s="1"/>
  <c r="DK206" i="1" a="1"/>
  <c r="DK206" i="1" s="1"/>
  <c r="DK207" i="1" a="1"/>
  <c r="DK207" i="1" s="1"/>
  <c r="DK208" i="1" a="1"/>
  <c r="DK208" i="1" s="1"/>
  <c r="DK114" i="1" a="1"/>
  <c r="DK114" i="1" s="1"/>
  <c r="DK210" i="1" a="1"/>
  <c r="DK210" i="1" s="1"/>
  <c r="DK211" i="1" a="1"/>
  <c r="DK211" i="1" s="1"/>
  <c r="DK212" i="1" a="1"/>
  <c r="DK212" i="1" s="1"/>
  <c r="DK213" i="1" a="1"/>
  <c r="DK213" i="1" s="1"/>
  <c r="DK214" i="1" a="1"/>
  <c r="DK214" i="1" s="1"/>
  <c r="DK215" i="1" a="1"/>
  <c r="DK215" i="1" s="1"/>
  <c r="DK216" i="1" a="1"/>
  <c r="DK216" i="1" s="1"/>
  <c r="DK217" i="1" a="1"/>
  <c r="DK217" i="1" s="1"/>
  <c r="DK218" i="1" a="1"/>
  <c r="DK218" i="1" s="1"/>
  <c r="DK219" i="1" a="1"/>
  <c r="DK219" i="1" s="1"/>
  <c r="DK220" i="1" a="1"/>
  <c r="DK220" i="1" s="1"/>
  <c r="DK221" i="1" a="1"/>
  <c r="DK221" i="1" s="1"/>
  <c r="DK222" i="1" a="1"/>
  <c r="DK222" i="1" s="1"/>
  <c r="DK223" i="1" a="1"/>
  <c r="DK223" i="1" s="1"/>
  <c r="DK224" i="1" a="1"/>
  <c r="DK224" i="1" s="1"/>
  <c r="DK225" i="1" a="1"/>
  <c r="DK225" i="1" s="1"/>
  <c r="DK226" i="1" a="1"/>
  <c r="DK226" i="1" s="1"/>
  <c r="DK227" i="1" a="1"/>
  <c r="DK227" i="1" s="1"/>
  <c r="DK228" i="1" a="1"/>
  <c r="DK228" i="1" s="1"/>
  <c r="DK229" i="1" a="1"/>
  <c r="DK229" i="1" s="1"/>
  <c r="DK230" i="1" a="1"/>
  <c r="DK230" i="1" s="1"/>
  <c r="DK231" i="1" a="1"/>
  <c r="DK231" i="1" s="1"/>
  <c r="DK232" i="1" a="1"/>
  <c r="DK232" i="1" s="1"/>
  <c r="DK233" i="1" a="1"/>
  <c r="DK233" i="1" s="1"/>
  <c r="DK234" i="1" a="1"/>
  <c r="DK234" i="1" s="1"/>
  <c r="DK235" i="1" a="1"/>
  <c r="DK235" i="1" s="1"/>
  <c r="DK236" i="1" a="1"/>
  <c r="DK236" i="1" s="1"/>
  <c r="DK237" i="1" a="1"/>
  <c r="DK237" i="1" s="1"/>
  <c r="DK238" i="1" a="1"/>
  <c r="DK238" i="1" s="1"/>
  <c r="DK239" i="1" a="1"/>
  <c r="DK239" i="1" s="1"/>
  <c r="DK240" i="1" a="1"/>
  <c r="DK240" i="1" s="1"/>
  <c r="DK241" i="1" a="1"/>
  <c r="DK241" i="1" s="1"/>
  <c r="DK242" i="1" a="1"/>
  <c r="DK242" i="1" s="1"/>
  <c r="DK243" i="1" a="1"/>
  <c r="DK243" i="1" s="1"/>
  <c r="DK244" i="1" a="1"/>
  <c r="DK244" i="1" s="1"/>
  <c r="DK245" i="1" a="1"/>
  <c r="DK245" i="1" s="1"/>
  <c r="DK246" i="1" a="1"/>
  <c r="DK246" i="1" s="1"/>
  <c r="DK247" i="1" a="1"/>
  <c r="DK247" i="1" s="1"/>
  <c r="DK248" i="1" a="1"/>
  <c r="DK248" i="1" s="1"/>
  <c r="DK249" i="1" a="1"/>
  <c r="DK249" i="1" s="1"/>
  <c r="DK250" i="1" a="1"/>
  <c r="DK250" i="1" s="1"/>
  <c r="DK251" i="1" a="1"/>
  <c r="DK251" i="1" s="1"/>
  <c r="DK252" i="1" a="1"/>
  <c r="DK252" i="1" s="1"/>
  <c r="DK253" i="1" a="1"/>
  <c r="DK253" i="1" s="1"/>
  <c r="DK254" i="1" a="1"/>
  <c r="DK254" i="1" s="1"/>
  <c r="DK202" i="1" a="1"/>
  <c r="DK202" i="1" s="1"/>
  <c r="DK256" i="1" a="1"/>
  <c r="DK256" i="1" s="1"/>
  <c r="DK257" i="1" a="1"/>
  <c r="DK257" i="1" s="1"/>
  <c r="DK258" i="1" a="1"/>
  <c r="DK258" i="1" s="1"/>
  <c r="DK259" i="1" a="1"/>
  <c r="DK259" i="1" s="1"/>
  <c r="DK260" i="1" a="1"/>
  <c r="DK260" i="1" s="1"/>
  <c r="DK261" i="1" a="1"/>
  <c r="DK261" i="1" s="1"/>
  <c r="DK262" i="1" a="1"/>
  <c r="DK262" i="1" s="1"/>
  <c r="DK263" i="1" a="1"/>
  <c r="DK263" i="1" s="1"/>
  <c r="DK264" i="1" a="1"/>
  <c r="DK264" i="1" s="1"/>
  <c r="DK265" i="1" a="1"/>
  <c r="DK265" i="1" s="1"/>
  <c r="DK266" i="1" a="1"/>
  <c r="DK266" i="1" s="1"/>
  <c r="DK267" i="1" a="1"/>
  <c r="DK267" i="1" s="1"/>
  <c r="DK268" i="1" a="1"/>
  <c r="DK268" i="1" s="1"/>
  <c r="DK269" i="1" a="1"/>
  <c r="DK269" i="1" s="1"/>
  <c r="DK270" i="1" a="1"/>
  <c r="DK270" i="1" s="1"/>
  <c r="DK271" i="1" a="1"/>
  <c r="DK271" i="1" s="1"/>
  <c r="BL23" i="1" l="1" a="1"/>
  <c r="BL23" i="1" s="1"/>
  <c r="BY23" i="1" s="1"/>
  <c r="BL24" i="1" a="1"/>
  <c r="BL24" i="1" s="1"/>
  <c r="BY24" i="1" s="1"/>
  <c r="BL25" i="1" a="1"/>
  <c r="BL25" i="1" s="1"/>
  <c r="BY25" i="1" s="1"/>
  <c r="BL26" i="1" a="1"/>
  <c r="BL26" i="1" s="1"/>
  <c r="BY26" i="1" s="1"/>
  <c r="BL27" i="1" a="1"/>
  <c r="BL27" i="1" s="1"/>
  <c r="BY27" i="1" s="1"/>
  <c r="BL28" i="1" a="1"/>
  <c r="BL28" i="1" s="1"/>
  <c r="BY28" i="1" s="1"/>
  <c r="BL29" i="1" a="1"/>
  <c r="BL29" i="1" s="1"/>
  <c r="BY29" i="1" s="1"/>
  <c r="BL30" i="1" a="1"/>
  <c r="BL30" i="1" s="1"/>
  <c r="BY30" i="1" s="1"/>
  <c r="BL31" i="1" a="1"/>
  <c r="BL31" i="1" s="1"/>
  <c r="BY31" i="1" s="1"/>
  <c r="BL32" i="1" a="1"/>
  <c r="BL32" i="1" s="1"/>
  <c r="BY32" i="1" s="1"/>
  <c r="BL33" i="1" a="1"/>
  <c r="BL33" i="1" s="1"/>
  <c r="BY33" i="1" s="1"/>
  <c r="BL34" i="1" a="1"/>
  <c r="BL34" i="1" s="1"/>
  <c r="BY34" i="1" s="1"/>
  <c r="BL36" i="1" a="1"/>
  <c r="BL36" i="1" s="1"/>
  <c r="BY36" i="1" s="1"/>
  <c r="BL37" i="1" a="1"/>
  <c r="BL37" i="1" s="1"/>
  <c r="BY37" i="1" s="1"/>
  <c r="BL38" i="1" a="1"/>
  <c r="BL38" i="1" s="1"/>
  <c r="BY38" i="1" s="1"/>
  <c r="BL39" i="1" a="1"/>
  <c r="BL39" i="1" s="1"/>
  <c r="BY39" i="1" s="1"/>
  <c r="BL40" i="1" a="1"/>
  <c r="BL40" i="1" s="1"/>
  <c r="BY40" i="1" s="1"/>
  <c r="BL41" i="1" a="1"/>
  <c r="BL41" i="1" s="1"/>
  <c r="BY41" i="1" s="1"/>
  <c r="BL42" i="1" a="1"/>
  <c r="BL42" i="1" s="1"/>
  <c r="BY42" i="1" s="1"/>
  <c r="BL43" i="1" a="1"/>
  <c r="BL43" i="1" s="1"/>
  <c r="BY43" i="1" s="1"/>
  <c r="BL44" i="1" a="1"/>
  <c r="BL44" i="1" s="1"/>
  <c r="BY44" i="1" s="1"/>
  <c r="BL45" i="1" a="1"/>
  <c r="BL45" i="1" s="1"/>
  <c r="BY45" i="1" s="1"/>
  <c r="BL46" i="1" a="1"/>
  <c r="BL46" i="1" s="1"/>
  <c r="BY46" i="1" s="1"/>
  <c r="BL47" i="1" a="1"/>
  <c r="BL47" i="1" s="1"/>
  <c r="BY47" i="1" s="1"/>
  <c r="BL48" i="1" a="1"/>
  <c r="BL48" i="1" s="1"/>
  <c r="BY48" i="1" s="1"/>
  <c r="BL49" i="1" a="1"/>
  <c r="BL49" i="1" s="1"/>
  <c r="BY49" i="1" s="1"/>
  <c r="BL50" i="1" a="1"/>
  <c r="BL50" i="1" s="1"/>
  <c r="BY50" i="1" s="1"/>
  <c r="BL51" i="1" a="1"/>
  <c r="BL51" i="1" s="1"/>
  <c r="BY51" i="1" s="1"/>
  <c r="BL52" i="1" a="1"/>
  <c r="BL52" i="1" s="1"/>
  <c r="BY52" i="1" s="1"/>
  <c r="BL53" i="1" a="1"/>
  <c r="BL53" i="1" s="1"/>
  <c r="BY53" i="1" s="1"/>
  <c r="BL54" i="1" a="1"/>
  <c r="BL54" i="1" s="1"/>
  <c r="BY54" i="1" s="1"/>
  <c r="BL56" i="1" a="1"/>
  <c r="BL56" i="1" s="1"/>
  <c r="BY56" i="1" s="1"/>
  <c r="BL57" i="1" a="1"/>
  <c r="BL57" i="1" s="1"/>
  <c r="BY57" i="1" s="1"/>
  <c r="BL58" i="1" a="1"/>
  <c r="BL58" i="1" s="1"/>
  <c r="BY58" i="1" s="1"/>
  <c r="BL59" i="1" a="1"/>
  <c r="BL59" i="1" s="1"/>
  <c r="BY59" i="1" s="1"/>
  <c r="BL60" i="1" a="1"/>
  <c r="BL60" i="1" s="1"/>
  <c r="BY60" i="1" s="1"/>
  <c r="BL61" i="1" a="1"/>
  <c r="BL61" i="1" s="1"/>
  <c r="BY61" i="1" s="1"/>
  <c r="BL62" i="1" a="1"/>
  <c r="BL62" i="1" s="1"/>
  <c r="BY62" i="1" s="1"/>
  <c r="BL63" i="1" a="1"/>
  <c r="BL63" i="1" s="1"/>
  <c r="BY63" i="1" s="1"/>
  <c r="BL64" i="1" a="1"/>
  <c r="BL64" i="1" s="1"/>
  <c r="BY64" i="1" s="1"/>
  <c r="BL127" i="1" a="1"/>
  <c r="BL127" i="1" s="1"/>
  <c r="BY127" i="1" s="1"/>
  <c r="BL66" i="1" a="1"/>
  <c r="BL66" i="1" s="1"/>
  <c r="BY66" i="1" s="1"/>
  <c r="BL68" i="1" a="1"/>
  <c r="BL68" i="1" s="1"/>
  <c r="BY68" i="1" s="1"/>
  <c r="BL69" i="1" a="1"/>
  <c r="BL69" i="1" s="1"/>
  <c r="BY69" i="1" s="1"/>
  <c r="BL184" i="1" a="1"/>
  <c r="BL184" i="1" s="1"/>
  <c r="BY184" i="1" s="1"/>
  <c r="BL71" i="1" a="1"/>
  <c r="BL71" i="1" s="1"/>
  <c r="BY71" i="1" s="1"/>
  <c r="BL72" i="1" a="1"/>
  <c r="BL72" i="1" s="1"/>
  <c r="BY72" i="1" s="1"/>
  <c r="BL73" i="1" a="1"/>
  <c r="BL73" i="1" s="1"/>
  <c r="BY73" i="1" s="1"/>
  <c r="BL74" i="1" a="1"/>
  <c r="BL74" i="1" s="1"/>
  <c r="BY74" i="1" s="1"/>
  <c r="BL75" i="1" a="1"/>
  <c r="BL75" i="1" s="1"/>
  <c r="BY75" i="1" s="1"/>
  <c r="BL76" i="1" a="1"/>
  <c r="BL76" i="1" s="1"/>
  <c r="BY76" i="1" s="1"/>
  <c r="BL77" i="1" a="1"/>
  <c r="BL77" i="1" s="1"/>
  <c r="BY77" i="1" s="1"/>
  <c r="BL78" i="1" a="1"/>
  <c r="BL78" i="1" s="1"/>
  <c r="BY78" i="1" s="1"/>
  <c r="BL79" i="1" a="1"/>
  <c r="BL79" i="1" s="1"/>
  <c r="BY79" i="1" s="1"/>
  <c r="BL80" i="1" a="1"/>
  <c r="BL80" i="1" s="1"/>
  <c r="BY80" i="1" s="1"/>
  <c r="BL81" i="1" a="1"/>
  <c r="BL81" i="1" s="1"/>
  <c r="BY81" i="1" s="1"/>
  <c r="BL82" i="1" a="1"/>
  <c r="BL82" i="1" s="1"/>
  <c r="BY82" i="1" s="1"/>
  <c r="BL83" i="1" a="1"/>
  <c r="BL83" i="1" s="1"/>
  <c r="BY83" i="1" s="1"/>
  <c r="BL84" i="1" a="1"/>
  <c r="BL84" i="1" s="1"/>
  <c r="BY84" i="1" s="1"/>
  <c r="BL85" i="1" a="1"/>
  <c r="BL85" i="1" s="1"/>
  <c r="BY85" i="1" s="1"/>
  <c r="BL86" i="1" a="1"/>
  <c r="BL86" i="1" s="1"/>
  <c r="BY86" i="1" s="1"/>
  <c r="BL87" i="1" a="1"/>
  <c r="BL87" i="1" s="1"/>
  <c r="BY87" i="1" s="1"/>
  <c r="BL88" i="1" a="1"/>
  <c r="BL88" i="1" s="1"/>
  <c r="BY88" i="1" s="1"/>
  <c r="BL163" i="1" a="1"/>
  <c r="BL163" i="1" s="1"/>
  <c r="BY163" i="1" s="1"/>
  <c r="BL91" i="1" a="1"/>
  <c r="BL91" i="1" s="1"/>
  <c r="BY91" i="1" s="1"/>
  <c r="BL93" i="1" a="1"/>
  <c r="BL93" i="1" s="1"/>
  <c r="BY93" i="1" s="1"/>
  <c r="BL94" i="1" a="1"/>
  <c r="BL94" i="1" s="1"/>
  <c r="BY94" i="1" s="1"/>
  <c r="BL95" i="1" a="1"/>
  <c r="BL95" i="1" s="1"/>
  <c r="BY95" i="1" s="1"/>
  <c r="BL96" i="1" a="1"/>
  <c r="BL96" i="1" s="1"/>
  <c r="BY96" i="1" s="1"/>
  <c r="BL97" i="1" a="1"/>
  <c r="BL97" i="1" s="1"/>
  <c r="BY97" i="1" s="1"/>
  <c r="BL98" i="1" a="1"/>
  <c r="BL98" i="1" s="1"/>
  <c r="BY98" i="1" s="1"/>
  <c r="BL99" i="1" a="1"/>
  <c r="BL99" i="1" s="1"/>
  <c r="BY99" i="1" s="1"/>
  <c r="BL100" i="1" a="1"/>
  <c r="BL100" i="1" s="1"/>
  <c r="BY100" i="1" s="1"/>
  <c r="BL101" i="1" a="1"/>
  <c r="BL101" i="1" s="1"/>
  <c r="BY101" i="1" s="1"/>
  <c r="BL102" i="1" a="1"/>
  <c r="BL102" i="1" s="1"/>
  <c r="BY102" i="1" s="1"/>
  <c r="BL103" i="1" a="1"/>
  <c r="BL103" i="1" s="1"/>
  <c r="BY103" i="1" s="1"/>
  <c r="BL104" i="1" a="1"/>
  <c r="BL104" i="1" s="1"/>
  <c r="BY104" i="1" s="1"/>
  <c r="BL105" i="1" a="1"/>
  <c r="BL105" i="1" s="1"/>
  <c r="BY105" i="1" s="1"/>
  <c r="BL106" i="1" a="1"/>
  <c r="BL106" i="1" s="1"/>
  <c r="BY106" i="1" s="1"/>
  <c r="BL107" i="1" a="1"/>
  <c r="BL107" i="1" s="1"/>
  <c r="BY107" i="1" s="1"/>
  <c r="BL108" i="1" a="1"/>
  <c r="BL108" i="1" s="1"/>
  <c r="BY108" i="1" s="1"/>
  <c r="BL109" i="1" a="1"/>
  <c r="BL109" i="1" s="1"/>
  <c r="BY109" i="1" s="1"/>
  <c r="BL110" i="1" a="1"/>
  <c r="BL110" i="1" s="1"/>
  <c r="BY110" i="1" s="1"/>
  <c r="BL111" i="1" a="1"/>
  <c r="BL111" i="1" s="1"/>
  <c r="BY111" i="1" s="1"/>
  <c r="BL112" i="1" a="1"/>
  <c r="BL112" i="1" s="1"/>
  <c r="BY112" i="1" s="1"/>
  <c r="BL89" i="1" a="1"/>
  <c r="BL89" i="1" s="1"/>
  <c r="BY89" i="1" s="1"/>
  <c r="BL115" i="1" a="1"/>
  <c r="BL115" i="1" s="1"/>
  <c r="BY115" i="1" s="1"/>
  <c r="BL116" i="1" a="1"/>
  <c r="BL116" i="1" s="1"/>
  <c r="BY116" i="1" s="1"/>
  <c r="BL117" i="1" a="1"/>
  <c r="BL117" i="1" s="1"/>
  <c r="BY117" i="1" s="1"/>
  <c r="BL118" i="1" a="1"/>
  <c r="BL118" i="1" s="1"/>
  <c r="BY118" i="1" s="1"/>
  <c r="BL119" i="1" a="1"/>
  <c r="BL119" i="1" s="1"/>
  <c r="BY119" i="1" s="1"/>
  <c r="BL67" i="1" a="1"/>
  <c r="BL67" i="1" s="1"/>
  <c r="BY67" i="1" s="1"/>
  <c r="BL122" i="1" a="1"/>
  <c r="BL122" i="1" s="1"/>
  <c r="BY122" i="1" s="1"/>
  <c r="BL123" i="1" a="1"/>
  <c r="BL123" i="1" s="1"/>
  <c r="BY123" i="1" s="1"/>
  <c r="BL153" i="1" a="1"/>
  <c r="BL153" i="1" s="1"/>
  <c r="BY153" i="1" s="1"/>
  <c r="BL125" i="1" a="1"/>
  <c r="BL125" i="1" s="1"/>
  <c r="BY125" i="1" s="1"/>
  <c r="BL126" i="1" a="1"/>
  <c r="BL126" i="1" s="1"/>
  <c r="BY126" i="1" s="1"/>
  <c r="BL128" i="1" a="1"/>
  <c r="BL128" i="1" s="1"/>
  <c r="BY128" i="1" s="1"/>
  <c r="BL129" i="1" a="1"/>
  <c r="BL129" i="1" s="1"/>
  <c r="BY129" i="1" s="1"/>
  <c r="BL130" i="1" a="1"/>
  <c r="BL130" i="1" s="1"/>
  <c r="BY130" i="1" s="1"/>
  <c r="BL131" i="1" a="1"/>
  <c r="BL131" i="1" s="1"/>
  <c r="BY131" i="1" s="1"/>
  <c r="BL133" i="1" a="1"/>
  <c r="BL133" i="1" s="1"/>
  <c r="BY133" i="1" s="1"/>
  <c r="BL134" i="1" a="1"/>
  <c r="BL134" i="1" s="1"/>
  <c r="BY134" i="1" s="1"/>
  <c r="BL135" i="1" a="1"/>
  <c r="BL135" i="1" s="1"/>
  <c r="BY135" i="1" s="1"/>
  <c r="BL136" i="1" a="1"/>
  <c r="BL136" i="1" s="1"/>
  <c r="BY136" i="1" s="1"/>
  <c r="BL137" i="1" a="1"/>
  <c r="BL137" i="1" s="1"/>
  <c r="BY137" i="1" s="1"/>
  <c r="BL138" i="1" a="1"/>
  <c r="BL138" i="1" s="1"/>
  <c r="BY138" i="1" s="1"/>
  <c r="BL139" i="1" a="1"/>
  <c r="BL139" i="1" s="1"/>
  <c r="BY139" i="1" s="1"/>
  <c r="BL140" i="1" a="1"/>
  <c r="BL140" i="1" s="1"/>
  <c r="BY140" i="1" s="1"/>
  <c r="BL141" i="1" a="1"/>
  <c r="BL141" i="1" s="1"/>
  <c r="BY141" i="1" s="1"/>
  <c r="BL142" i="1" a="1"/>
  <c r="BL142" i="1" s="1"/>
  <c r="BY142" i="1" s="1"/>
  <c r="BL143" i="1" a="1"/>
  <c r="BL143" i="1" s="1"/>
  <c r="BY143" i="1" s="1"/>
  <c r="BL144" i="1" a="1"/>
  <c r="BL144" i="1" s="1"/>
  <c r="BY144" i="1" s="1"/>
  <c r="BL145" i="1" a="1"/>
  <c r="BL145" i="1" s="1"/>
  <c r="BY145" i="1" s="1"/>
  <c r="BL146" i="1" a="1"/>
  <c r="BL146" i="1" s="1"/>
  <c r="BY146" i="1" s="1"/>
  <c r="BL147" i="1" a="1"/>
  <c r="BL147" i="1" s="1"/>
  <c r="BY147" i="1" s="1"/>
  <c r="BL148" i="1" a="1"/>
  <c r="BL148" i="1" s="1"/>
  <c r="BY148" i="1" s="1"/>
  <c r="BL149" i="1" a="1"/>
  <c r="BL149" i="1" s="1"/>
  <c r="BY149" i="1" s="1"/>
  <c r="BL150" i="1" a="1"/>
  <c r="BL150" i="1" s="1"/>
  <c r="BY150" i="1" s="1"/>
  <c r="BL151" i="1" a="1"/>
  <c r="BL151" i="1" s="1"/>
  <c r="BY151" i="1" s="1"/>
  <c r="BL152" i="1" a="1"/>
  <c r="BL152" i="1" s="1"/>
  <c r="BY152" i="1" s="1"/>
  <c r="BL120" i="1" a="1"/>
  <c r="BL120" i="1" s="1"/>
  <c r="BY120" i="1" s="1"/>
  <c r="BL154" i="1" a="1"/>
  <c r="BL154" i="1" s="1"/>
  <c r="BY154" i="1" s="1"/>
  <c r="BL92" i="1" a="1"/>
  <c r="BL92" i="1" s="1"/>
  <c r="BY92" i="1" s="1"/>
  <c r="BL156" i="1" a="1"/>
  <c r="BL156" i="1" s="1"/>
  <c r="BY156" i="1" s="1"/>
  <c r="BL157" i="1" a="1"/>
  <c r="BL157" i="1" s="1"/>
  <c r="BY157" i="1" s="1"/>
  <c r="BL158" i="1" a="1"/>
  <c r="BL158" i="1" s="1"/>
  <c r="BY158" i="1" s="1"/>
  <c r="BL159" i="1" a="1"/>
  <c r="BL159" i="1" s="1"/>
  <c r="BY159" i="1" s="1"/>
  <c r="BL160" i="1" a="1"/>
  <c r="BL160" i="1" s="1"/>
  <c r="BY160" i="1" s="1"/>
  <c r="BL161" i="1" a="1"/>
  <c r="BL161" i="1" s="1"/>
  <c r="BY161" i="1" s="1"/>
  <c r="BL162" i="1" a="1"/>
  <c r="BL162" i="1" s="1"/>
  <c r="BY162" i="1" s="1"/>
  <c r="BL164" i="1" a="1"/>
  <c r="BL164" i="1" s="1"/>
  <c r="BY164" i="1" s="1"/>
  <c r="BL165" i="1" a="1"/>
  <c r="BL165" i="1" s="1"/>
  <c r="BY165" i="1" s="1"/>
  <c r="BL166" i="1" a="1"/>
  <c r="BL166" i="1" s="1"/>
  <c r="BY166" i="1" s="1"/>
  <c r="BL167" i="1" a="1"/>
  <c r="BL167" i="1" s="1"/>
  <c r="BY167" i="1" s="1"/>
  <c r="BL168" i="1" a="1"/>
  <c r="BL168" i="1" s="1"/>
  <c r="BY168" i="1" s="1"/>
  <c r="BL169" i="1" a="1"/>
  <c r="BL169" i="1" s="1"/>
  <c r="BY169" i="1" s="1"/>
  <c r="BL170" i="1" a="1"/>
  <c r="BL170" i="1" s="1"/>
  <c r="BY170" i="1" s="1"/>
  <c r="BL171" i="1" a="1"/>
  <c r="BL171" i="1" s="1"/>
  <c r="BY171" i="1" s="1"/>
  <c r="BL172" i="1" a="1"/>
  <c r="BL172" i="1" s="1"/>
  <c r="BY172" i="1" s="1"/>
  <c r="BL173" i="1" a="1"/>
  <c r="BL173" i="1" s="1"/>
  <c r="BY173" i="1" s="1"/>
  <c r="BL174" i="1" a="1"/>
  <c r="BL174" i="1" s="1"/>
  <c r="BY174" i="1" s="1"/>
  <c r="BL175" i="1" a="1"/>
  <c r="BL175" i="1" s="1"/>
  <c r="BY175" i="1" s="1"/>
  <c r="BL176" i="1" a="1"/>
  <c r="BL176" i="1" s="1"/>
  <c r="BY176" i="1" s="1"/>
  <c r="BL177" i="1" a="1"/>
  <c r="BL177" i="1" s="1"/>
  <c r="BY177" i="1" s="1"/>
  <c r="BL178" i="1" a="1"/>
  <c r="BL178" i="1" s="1"/>
  <c r="BY178" i="1" s="1"/>
  <c r="BL179" i="1" a="1"/>
  <c r="BL179" i="1" s="1"/>
  <c r="BY179" i="1" s="1"/>
  <c r="EG155" i="1"/>
  <c r="BL181" i="1" a="1"/>
  <c r="BL181" i="1" s="1"/>
  <c r="BY181" i="1" s="1"/>
  <c r="BL182" i="1" a="1"/>
  <c r="BL182" i="1" s="1"/>
  <c r="BY182" i="1" s="1"/>
  <c r="BL183" i="1" a="1"/>
  <c r="BL183" i="1" s="1"/>
  <c r="BY183" i="1" s="1"/>
  <c r="BL191" i="1" a="1"/>
  <c r="BL191" i="1" s="1"/>
  <c r="BY191" i="1" s="1"/>
  <c r="BL185" i="1" a="1"/>
  <c r="BL185" i="1" s="1"/>
  <c r="BY185" i="1" s="1"/>
  <c r="BL19" i="1" a="1"/>
  <c r="BL19" i="1" s="1"/>
  <c r="BY19" i="1" s="1"/>
  <c r="BL187" i="1" a="1"/>
  <c r="BL187" i="1" s="1"/>
  <c r="BY187" i="1" s="1"/>
  <c r="BL188" i="1" a="1"/>
  <c r="BL188" i="1" s="1"/>
  <c r="BY188" i="1" s="1"/>
  <c r="BL189" i="1" a="1"/>
  <c r="BL189" i="1" s="1"/>
  <c r="BY189" i="1" s="1"/>
  <c r="BL190" i="1" a="1"/>
  <c r="BL190" i="1" s="1"/>
  <c r="BY190" i="1" s="1"/>
  <c r="BL35" i="1" a="1"/>
  <c r="BL35" i="1" s="1"/>
  <c r="BY35" i="1" s="1"/>
  <c r="BL192" i="1" a="1"/>
  <c r="BL192" i="1" s="1"/>
  <c r="BY192" i="1" s="1"/>
  <c r="BL193" i="1" a="1"/>
  <c r="BL193" i="1" s="1"/>
  <c r="BY193" i="1" s="1"/>
  <c r="BL194" i="1" a="1"/>
  <c r="BL194" i="1" s="1"/>
  <c r="BY194" i="1" s="1"/>
  <c r="BL195" i="1" a="1"/>
  <c r="BL195" i="1" s="1"/>
  <c r="BY195" i="1" s="1"/>
  <c r="BL196" i="1" a="1"/>
  <c r="BL196" i="1" s="1"/>
  <c r="BY196" i="1" s="1"/>
  <c r="BL197" i="1" a="1"/>
  <c r="BL197" i="1" s="1"/>
  <c r="BY197" i="1" s="1"/>
  <c r="BL198" i="1" a="1"/>
  <c r="BL198" i="1" s="1"/>
  <c r="BY198" i="1" s="1"/>
  <c r="BL199" i="1" a="1"/>
  <c r="BL199" i="1" s="1"/>
  <c r="BY199" i="1" s="1"/>
  <c r="BL200" i="1" a="1"/>
  <c r="BL200" i="1" s="1"/>
  <c r="BY200" i="1" s="1"/>
  <c r="BL201" i="1" a="1"/>
  <c r="BL201" i="1" s="1"/>
  <c r="BY201" i="1" s="1"/>
  <c r="BL255" i="1" a="1"/>
  <c r="BL255" i="1" s="1"/>
  <c r="BY255" i="1" s="1"/>
  <c r="BL203" i="1" a="1"/>
  <c r="BL203" i="1" s="1"/>
  <c r="BY203" i="1" s="1"/>
  <c r="BL204" i="1" a="1"/>
  <c r="BL204" i="1" s="1"/>
  <c r="BY204" i="1" s="1"/>
  <c r="BL205" i="1" a="1"/>
  <c r="BL205" i="1" s="1"/>
  <c r="BY205" i="1" s="1"/>
  <c r="BL206" i="1" a="1"/>
  <c r="BL206" i="1" s="1"/>
  <c r="BY206" i="1" s="1"/>
  <c r="BL207" i="1" a="1"/>
  <c r="BL207" i="1" s="1"/>
  <c r="BY207" i="1" s="1"/>
  <c r="BL208" i="1" a="1"/>
  <c r="BL208" i="1" s="1"/>
  <c r="BY208" i="1" s="1"/>
  <c r="BL114" i="1" a="1"/>
  <c r="BL114" i="1" s="1"/>
  <c r="BY114" i="1" s="1"/>
  <c r="BL210" i="1" a="1"/>
  <c r="BL210" i="1" s="1"/>
  <c r="BY210" i="1" s="1"/>
  <c r="BL211" i="1" a="1"/>
  <c r="BL211" i="1" s="1"/>
  <c r="BY211" i="1" s="1"/>
  <c r="BL212" i="1" a="1"/>
  <c r="BL212" i="1" s="1"/>
  <c r="BY212" i="1" s="1"/>
  <c r="BL213" i="1" a="1"/>
  <c r="BL213" i="1" s="1"/>
  <c r="BY213" i="1" s="1"/>
  <c r="BL214" i="1" a="1"/>
  <c r="BL214" i="1" s="1"/>
  <c r="BY214" i="1" s="1"/>
  <c r="BL215" i="1" a="1"/>
  <c r="BL215" i="1" s="1"/>
  <c r="BY215" i="1" s="1"/>
  <c r="BL216" i="1" a="1"/>
  <c r="BL216" i="1" s="1"/>
  <c r="BY216" i="1" s="1"/>
  <c r="BL217" i="1" a="1"/>
  <c r="BL217" i="1" s="1"/>
  <c r="BY217" i="1" s="1"/>
  <c r="BL218" i="1" a="1"/>
  <c r="BL218" i="1" s="1"/>
  <c r="BY218" i="1" s="1"/>
  <c r="BL219" i="1" a="1"/>
  <c r="BL219" i="1" s="1"/>
  <c r="BY219" i="1" s="1"/>
  <c r="BL220" i="1" a="1"/>
  <c r="BL220" i="1" s="1"/>
  <c r="BY220" i="1" s="1"/>
  <c r="BL221" i="1" a="1"/>
  <c r="BL221" i="1" s="1"/>
  <c r="BY221" i="1" s="1"/>
  <c r="BL222" i="1" a="1"/>
  <c r="BL222" i="1" s="1"/>
  <c r="BY222" i="1" s="1"/>
  <c r="BL223" i="1" a="1"/>
  <c r="BL223" i="1" s="1"/>
  <c r="BY223" i="1" s="1"/>
  <c r="BL224" i="1" a="1"/>
  <c r="BL224" i="1" s="1"/>
  <c r="BY224" i="1" s="1"/>
  <c r="BL225" i="1" a="1"/>
  <c r="BL225" i="1" s="1"/>
  <c r="BY225" i="1" s="1"/>
  <c r="BL226" i="1" a="1"/>
  <c r="BL226" i="1" s="1"/>
  <c r="BY226" i="1" s="1"/>
  <c r="BL227" i="1" a="1"/>
  <c r="BL227" i="1" s="1"/>
  <c r="BY227" i="1" s="1"/>
  <c r="BL228" i="1" a="1"/>
  <c r="BL228" i="1" s="1"/>
  <c r="BY228" i="1" s="1"/>
  <c r="BL229" i="1" a="1"/>
  <c r="BL229" i="1" s="1"/>
  <c r="BY229" i="1" s="1"/>
  <c r="BL230" i="1" a="1"/>
  <c r="BL230" i="1" s="1"/>
  <c r="BY230" i="1" s="1"/>
  <c r="BL231" i="1" a="1"/>
  <c r="BL231" i="1" s="1"/>
  <c r="BY231" i="1" s="1"/>
  <c r="BL232" i="1" a="1"/>
  <c r="BL232" i="1" s="1"/>
  <c r="BY232" i="1" s="1"/>
  <c r="BL233" i="1" a="1"/>
  <c r="BL233" i="1" s="1"/>
  <c r="BY233" i="1" s="1"/>
  <c r="BL234" i="1" a="1"/>
  <c r="BL234" i="1" s="1"/>
  <c r="BY234" i="1" s="1"/>
  <c r="BL235" i="1" a="1"/>
  <c r="BL235" i="1" s="1"/>
  <c r="BY235" i="1" s="1"/>
  <c r="BL237" i="1" a="1"/>
  <c r="BL237" i="1" s="1"/>
  <c r="BY237" i="1" s="1"/>
  <c r="BL239" i="1" a="1"/>
  <c r="BL239" i="1" s="1"/>
  <c r="BY239" i="1" s="1"/>
  <c r="BL240" i="1" a="1"/>
  <c r="BL240" i="1" s="1"/>
  <c r="BY240" i="1" s="1"/>
  <c r="BL241" i="1" a="1"/>
  <c r="BL241" i="1" s="1"/>
  <c r="BY241" i="1" s="1"/>
  <c r="BL242" i="1" a="1"/>
  <c r="BL242" i="1" s="1"/>
  <c r="BY242" i="1" s="1"/>
  <c r="BL243" i="1" a="1"/>
  <c r="BL243" i="1" s="1"/>
  <c r="BY243" i="1" s="1"/>
  <c r="BL244" i="1" a="1"/>
  <c r="BL244" i="1" s="1"/>
  <c r="BY244" i="1" s="1"/>
  <c r="BL246" i="1" a="1"/>
  <c r="BL246" i="1" s="1"/>
  <c r="BY246" i="1" s="1"/>
  <c r="BL247" i="1" a="1"/>
  <c r="BL247" i="1" s="1"/>
  <c r="BY247" i="1" s="1"/>
  <c r="BL248" i="1" a="1"/>
  <c r="BL248" i="1" s="1"/>
  <c r="BY248" i="1" s="1"/>
  <c r="BL249" i="1" a="1"/>
  <c r="BL249" i="1" s="1"/>
  <c r="BY249" i="1" s="1"/>
  <c r="BL250" i="1" a="1"/>
  <c r="BL250" i="1" s="1"/>
  <c r="BY250" i="1" s="1"/>
  <c r="BL251" i="1" a="1"/>
  <c r="BL251" i="1" s="1"/>
  <c r="BY251" i="1" s="1"/>
  <c r="BL252" i="1" a="1"/>
  <c r="BL252" i="1" s="1"/>
  <c r="BY252" i="1" s="1"/>
  <c r="BL253" i="1" a="1"/>
  <c r="BL253" i="1" s="1"/>
  <c r="BY253" i="1" s="1"/>
  <c r="BL254" i="1" a="1"/>
  <c r="BL254" i="1" s="1"/>
  <c r="BY254" i="1" s="1"/>
  <c r="BL202" i="1" a="1"/>
  <c r="BL202" i="1" s="1"/>
  <c r="BY202" i="1" s="1"/>
  <c r="BL256" i="1" a="1"/>
  <c r="BL256" i="1" s="1"/>
  <c r="BY256" i="1" s="1"/>
  <c r="BL257" i="1" a="1"/>
  <c r="BL257" i="1" s="1"/>
  <c r="BY257" i="1" s="1"/>
  <c r="BL258" i="1" a="1"/>
  <c r="BL258" i="1" s="1"/>
  <c r="BY258" i="1" s="1"/>
  <c r="BL259" i="1" a="1"/>
  <c r="BL259" i="1" s="1"/>
  <c r="BY259" i="1" s="1"/>
  <c r="BL260" i="1" a="1"/>
  <c r="BL260" i="1" s="1"/>
  <c r="BY260" i="1" s="1"/>
  <c r="BL261" i="1" a="1"/>
  <c r="BL261" i="1" s="1"/>
  <c r="BY261" i="1" s="1"/>
  <c r="BL262" i="1" a="1"/>
  <c r="BL262" i="1" s="1"/>
  <c r="BY262" i="1" s="1"/>
  <c r="BL263" i="1" a="1"/>
  <c r="BL263" i="1" s="1"/>
  <c r="BY263" i="1" s="1"/>
  <c r="BL264" i="1" a="1"/>
  <c r="BL264" i="1" s="1"/>
  <c r="BY264" i="1" s="1"/>
  <c r="BL265" i="1" a="1"/>
  <c r="BL265" i="1" s="1"/>
  <c r="BY265" i="1" s="1"/>
  <c r="BL266" i="1" a="1"/>
  <c r="BL266" i="1" s="1"/>
  <c r="BY266" i="1" s="1"/>
  <c r="BL267" i="1" a="1"/>
  <c r="BL267" i="1" s="1"/>
  <c r="BY267" i="1" s="1"/>
  <c r="BL268" i="1" a="1"/>
  <c r="BL268" i="1" s="1"/>
  <c r="BY268" i="1" s="1"/>
  <c r="BL269" i="1" a="1"/>
  <c r="BL269" i="1" s="1"/>
  <c r="BY269" i="1" s="1"/>
  <c r="BL270" i="1" a="1"/>
  <c r="BL270" i="1" s="1"/>
  <c r="BY270" i="1" s="1"/>
  <c r="BL271" i="1" a="1"/>
  <c r="BL271" i="1" s="1"/>
  <c r="BY271" i="1" s="1"/>
  <c r="BW271" i="1" l="1"/>
  <c r="BW259" i="1"/>
  <c r="BW251" i="1"/>
  <c r="BW247" i="1"/>
  <c r="BW242" i="1"/>
  <c r="BW237" i="1"/>
  <c r="BW232" i="1"/>
  <c r="BW228" i="1"/>
  <c r="BW224" i="1"/>
  <c r="BW220" i="1"/>
  <c r="BW216" i="1"/>
  <c r="BW212" i="1"/>
  <c r="BW208" i="1"/>
  <c r="BW204" i="1"/>
  <c r="BW200" i="1"/>
  <c r="BW196" i="1"/>
  <c r="BW192" i="1"/>
  <c r="BW188" i="1"/>
  <c r="BW191" i="1"/>
  <c r="BW176" i="1"/>
  <c r="BW172" i="1"/>
  <c r="BW168" i="1"/>
  <c r="BW164" i="1"/>
  <c r="BW159" i="1"/>
  <c r="BW92" i="1"/>
  <c r="BW151" i="1"/>
  <c r="BW147" i="1"/>
  <c r="BW143" i="1"/>
  <c r="BW139" i="1"/>
  <c r="BW135" i="1"/>
  <c r="BW130" i="1"/>
  <c r="BW125" i="1"/>
  <c r="BW67" i="1"/>
  <c r="BW116" i="1"/>
  <c r="BW111" i="1"/>
  <c r="BW107" i="1"/>
  <c r="BW103" i="1"/>
  <c r="BW99" i="1"/>
  <c r="BW95" i="1"/>
  <c r="BW163" i="1"/>
  <c r="BW86" i="1"/>
  <c r="BW82" i="1"/>
  <c r="BW78" i="1"/>
  <c r="BW74" i="1"/>
  <c r="BW184" i="1"/>
  <c r="BW127" i="1"/>
  <c r="BW61" i="1"/>
  <c r="BW57" i="1"/>
  <c r="BW52" i="1"/>
  <c r="BW48" i="1"/>
  <c r="BW44" i="1"/>
  <c r="BW40" i="1"/>
  <c r="BW36" i="1"/>
  <c r="BW31" i="1"/>
  <c r="BW27" i="1"/>
  <c r="BW23" i="1"/>
  <c r="BW267" i="1"/>
  <c r="BW202" i="1"/>
  <c r="BW270" i="1"/>
  <c r="BW266" i="1"/>
  <c r="BW262" i="1"/>
  <c r="BW258" i="1"/>
  <c r="BW254" i="1"/>
  <c r="BW250" i="1"/>
  <c r="BW246" i="1"/>
  <c r="BW241" i="1"/>
  <c r="BW235" i="1"/>
  <c r="BW231" i="1"/>
  <c r="BW227" i="1"/>
  <c r="BW223" i="1"/>
  <c r="BW219" i="1"/>
  <c r="BW215" i="1"/>
  <c r="BW211" i="1"/>
  <c r="BW207" i="1"/>
  <c r="BW203" i="1"/>
  <c r="BW199" i="1"/>
  <c r="BW195" i="1"/>
  <c r="BW35" i="1"/>
  <c r="BW187" i="1"/>
  <c r="BW183" i="1"/>
  <c r="BW179" i="1"/>
  <c r="BW175" i="1"/>
  <c r="BW171" i="1"/>
  <c r="BW167" i="1"/>
  <c r="BW162" i="1"/>
  <c r="BW158" i="1"/>
  <c r="BW154" i="1"/>
  <c r="BW150" i="1"/>
  <c r="BW146" i="1"/>
  <c r="BW142" i="1"/>
  <c r="BW138" i="1"/>
  <c r="BW134" i="1"/>
  <c r="BW129" i="1"/>
  <c r="BW153" i="1"/>
  <c r="BW119" i="1"/>
  <c r="BW115" i="1"/>
  <c r="BW110" i="1"/>
  <c r="BW106" i="1"/>
  <c r="BW102" i="1"/>
  <c r="BW98" i="1"/>
  <c r="BW94" i="1"/>
  <c r="BW124" i="1"/>
  <c r="BW85" i="1"/>
  <c r="BW81" i="1"/>
  <c r="BW77" i="1"/>
  <c r="BW73" i="1"/>
  <c r="BW69" i="1"/>
  <c r="BW64" i="1"/>
  <c r="BW60" i="1"/>
  <c r="BW56" i="1"/>
  <c r="BW51" i="1"/>
  <c r="BW47" i="1"/>
  <c r="BW43" i="1"/>
  <c r="BW39" i="1"/>
  <c r="BW34" i="1"/>
  <c r="BW30" i="1"/>
  <c r="BW26" i="1"/>
  <c r="BW269" i="1"/>
  <c r="BW261" i="1"/>
  <c r="BW253" i="1"/>
  <c r="BW244" i="1"/>
  <c r="BW240" i="1"/>
  <c r="BW234" i="1"/>
  <c r="BW230" i="1"/>
  <c r="BW226" i="1"/>
  <c r="BW222" i="1"/>
  <c r="BW218" i="1"/>
  <c r="BW214" i="1"/>
  <c r="BW210" i="1"/>
  <c r="BW206" i="1"/>
  <c r="BW255" i="1"/>
  <c r="BW198" i="1"/>
  <c r="BW194" i="1"/>
  <c r="BW190" i="1"/>
  <c r="BW19" i="1"/>
  <c r="BW182" i="1"/>
  <c r="BW178" i="1"/>
  <c r="BW174" i="1"/>
  <c r="BW170" i="1"/>
  <c r="BW166" i="1"/>
  <c r="BW161" i="1"/>
  <c r="BW157" i="1"/>
  <c r="BW120" i="1"/>
  <c r="BW149" i="1"/>
  <c r="BW145" i="1"/>
  <c r="BW141" i="1"/>
  <c r="BW137" i="1"/>
  <c r="BW133" i="1"/>
  <c r="BW128" i="1"/>
  <c r="BW123" i="1"/>
  <c r="BW118" i="1"/>
  <c r="BW89" i="1"/>
  <c r="BW109" i="1"/>
  <c r="BW105" i="1"/>
  <c r="BW101" i="1"/>
  <c r="BW97" i="1"/>
  <c r="BW93" i="1"/>
  <c r="BW88" i="1"/>
  <c r="BW84" i="1"/>
  <c r="BW80" i="1"/>
  <c r="BW76" i="1"/>
  <c r="BW72" i="1"/>
  <c r="BW68" i="1"/>
  <c r="BW63" i="1"/>
  <c r="BW59" i="1"/>
  <c r="BW54" i="1"/>
  <c r="BW50" i="1"/>
  <c r="BW46" i="1"/>
  <c r="BW42" i="1"/>
  <c r="BW38" i="1"/>
  <c r="BW33" i="1"/>
  <c r="BW29" i="1"/>
  <c r="BW25" i="1"/>
  <c r="BW263" i="1"/>
  <c r="BW265" i="1"/>
  <c r="BW257" i="1"/>
  <c r="BW249" i="1"/>
  <c r="BW268" i="1"/>
  <c r="BW264" i="1"/>
  <c r="BW260" i="1"/>
  <c r="BW256" i="1"/>
  <c r="BW252" i="1"/>
  <c r="BW248" i="1"/>
  <c r="BW243" i="1"/>
  <c r="BW239" i="1"/>
  <c r="BW233" i="1"/>
  <c r="BW229" i="1"/>
  <c r="BW225" i="1"/>
  <c r="BW221" i="1"/>
  <c r="BW217" i="1"/>
  <c r="BW213" i="1"/>
  <c r="BW114" i="1"/>
  <c r="BW205" i="1"/>
  <c r="BW201" i="1"/>
  <c r="BW197" i="1"/>
  <c r="BW193" i="1"/>
  <c r="BW189" i="1"/>
  <c r="BW185" i="1"/>
  <c r="BW181" i="1"/>
  <c r="BW177" i="1"/>
  <c r="BW173" i="1"/>
  <c r="BW169" i="1"/>
  <c r="BW165" i="1"/>
  <c r="BW160" i="1"/>
  <c r="BW156" i="1"/>
  <c r="BW152" i="1"/>
  <c r="BW148" i="1"/>
  <c r="BW144" i="1"/>
  <c r="BW140" i="1"/>
  <c r="BW136" i="1"/>
  <c r="BW131" i="1"/>
  <c r="BW126" i="1"/>
  <c r="BW122" i="1"/>
  <c r="BW117" i="1"/>
  <c r="BW112" i="1"/>
  <c r="BW108" i="1"/>
  <c r="BW104" i="1"/>
  <c r="BW100" i="1"/>
  <c r="BW96" i="1"/>
  <c r="BW91" i="1"/>
  <c r="BW87" i="1"/>
  <c r="BW83" i="1"/>
  <c r="BW79" i="1"/>
  <c r="BW75" i="1"/>
  <c r="BW71" i="1"/>
  <c r="BW66" i="1"/>
  <c r="BW62" i="1"/>
  <c r="BW58" i="1"/>
  <c r="BW53" i="1"/>
  <c r="BW49" i="1"/>
  <c r="BW45" i="1"/>
  <c r="BW41" i="1"/>
  <c r="BW37" i="1"/>
  <c r="BW32" i="1"/>
  <c r="BW28" i="1"/>
  <c r="BW24" i="1"/>
  <c r="EG269" i="1"/>
  <c r="EI269" i="1" s="1"/>
  <c r="EK269" i="1" s="1"/>
  <c r="EG265" i="1"/>
  <c r="EI265" i="1" s="1"/>
  <c r="EK265" i="1" s="1"/>
  <c r="EG261" i="1"/>
  <c r="EI261" i="1" s="1"/>
  <c r="EK261" i="1" s="1"/>
  <c r="EG257" i="1"/>
  <c r="EI257" i="1" s="1"/>
  <c r="EK257" i="1" s="1"/>
  <c r="EG253" i="1"/>
  <c r="EI253" i="1" s="1"/>
  <c r="EK253" i="1" s="1"/>
  <c r="EG249" i="1"/>
  <c r="EI249" i="1" s="1"/>
  <c r="EK249" i="1" s="1"/>
  <c r="EG244" i="1"/>
  <c r="EI244" i="1" s="1"/>
  <c r="EK244" i="1" s="1"/>
  <c r="EG240" i="1"/>
  <c r="EI240" i="1" s="1"/>
  <c r="EK240" i="1" s="1"/>
  <c r="EG234" i="1"/>
  <c r="EI234" i="1" s="1"/>
  <c r="EK234" i="1" s="1"/>
  <c r="EG230" i="1"/>
  <c r="EI230" i="1" s="1"/>
  <c r="EK230" i="1" s="1"/>
  <c r="EG226" i="1"/>
  <c r="EI226" i="1" s="1"/>
  <c r="EK226" i="1" s="1"/>
  <c r="EG222" i="1"/>
  <c r="EI222" i="1" s="1"/>
  <c r="EK222" i="1" s="1"/>
  <c r="EG218" i="1"/>
  <c r="EI218" i="1" s="1"/>
  <c r="EK218" i="1" s="1"/>
  <c r="EG214" i="1"/>
  <c r="EI214" i="1" s="1"/>
  <c r="EK214" i="1" s="1"/>
  <c r="EG210" i="1"/>
  <c r="EI210" i="1" s="1"/>
  <c r="EK210" i="1" s="1"/>
  <c r="EG206" i="1"/>
  <c r="EI206" i="1" s="1"/>
  <c r="EK206" i="1" s="1"/>
  <c r="EG255" i="1"/>
  <c r="EI255" i="1" s="1"/>
  <c r="EK255" i="1" s="1"/>
  <c r="EG198" i="1"/>
  <c r="EI198" i="1" s="1"/>
  <c r="EK198" i="1" s="1"/>
  <c r="EG194" i="1"/>
  <c r="EI194" i="1" s="1"/>
  <c r="EK194" i="1" s="1"/>
  <c r="EG190" i="1"/>
  <c r="EI190" i="1" s="1"/>
  <c r="EK190" i="1" s="1"/>
  <c r="EG182" i="1"/>
  <c r="EI182" i="1" s="1"/>
  <c r="EK182" i="1" s="1"/>
  <c r="EG178" i="1"/>
  <c r="EI178" i="1" s="1"/>
  <c r="EK178" i="1" s="1"/>
  <c r="EG174" i="1"/>
  <c r="EI174" i="1" s="1"/>
  <c r="EK174" i="1" s="1"/>
  <c r="EG170" i="1"/>
  <c r="EI170" i="1" s="1"/>
  <c r="EK170" i="1" s="1"/>
  <c r="EG166" i="1"/>
  <c r="EI166" i="1" s="1"/>
  <c r="EK166" i="1" s="1"/>
  <c r="EG161" i="1"/>
  <c r="EI161" i="1" s="1"/>
  <c r="EK161" i="1" s="1"/>
  <c r="EG157" i="1"/>
  <c r="EI157" i="1" s="1"/>
  <c r="EK157" i="1" s="1"/>
  <c r="EG149" i="1"/>
  <c r="EI149" i="1" s="1"/>
  <c r="EK149" i="1" s="1"/>
  <c r="EG145" i="1"/>
  <c r="EI145" i="1" s="1"/>
  <c r="EK145" i="1" s="1"/>
  <c r="EG141" i="1"/>
  <c r="EI141" i="1" s="1"/>
  <c r="EK141" i="1" s="1"/>
  <c r="EG137" i="1"/>
  <c r="EI137" i="1" s="1"/>
  <c r="EK137" i="1" s="1"/>
  <c r="EG133" i="1"/>
  <c r="EI133" i="1" s="1"/>
  <c r="EK133" i="1" s="1"/>
  <c r="EG128" i="1"/>
  <c r="EI128" i="1" s="1"/>
  <c r="EK128" i="1" s="1"/>
  <c r="EG123" i="1"/>
  <c r="EI123" i="1" s="1"/>
  <c r="EK123" i="1" s="1"/>
  <c r="EG119" i="1"/>
  <c r="EI119" i="1" s="1"/>
  <c r="EK119" i="1" s="1"/>
  <c r="EG115" i="1"/>
  <c r="EI115" i="1" s="1"/>
  <c r="EK115" i="1" s="1"/>
  <c r="EG110" i="1"/>
  <c r="EI110" i="1" s="1"/>
  <c r="EK110" i="1" s="1"/>
  <c r="EG106" i="1"/>
  <c r="EI106" i="1" s="1"/>
  <c r="EK106" i="1" s="1"/>
  <c r="EG102" i="1"/>
  <c r="EI102" i="1" s="1"/>
  <c r="EK102" i="1" s="1"/>
  <c r="EG98" i="1"/>
  <c r="EI98" i="1" s="1"/>
  <c r="EK98" i="1" s="1"/>
  <c r="EG94" i="1"/>
  <c r="EI94" i="1" s="1"/>
  <c r="EK94" i="1" s="1"/>
  <c r="EG163" i="1"/>
  <c r="EI163" i="1" s="1"/>
  <c r="EK163" i="1" s="1"/>
  <c r="EG86" i="1"/>
  <c r="EI86" i="1" s="1"/>
  <c r="EK86" i="1" s="1"/>
  <c r="EG82" i="1"/>
  <c r="EI82" i="1" s="1"/>
  <c r="EK82" i="1" s="1"/>
  <c r="EG78" i="1"/>
  <c r="EI78" i="1" s="1"/>
  <c r="EK78" i="1" s="1"/>
  <c r="EG74" i="1"/>
  <c r="EI74" i="1" s="1"/>
  <c r="EK74" i="1" s="1"/>
  <c r="EG184" i="1"/>
  <c r="EI184" i="1" s="1"/>
  <c r="EK184" i="1" s="1"/>
  <c r="EG127" i="1"/>
  <c r="EI127" i="1" s="1"/>
  <c r="EK127" i="1" s="1"/>
  <c r="EG61" i="1"/>
  <c r="EI61" i="1" s="1"/>
  <c r="EK61" i="1" s="1"/>
  <c r="EG57" i="1"/>
  <c r="EI57" i="1" s="1"/>
  <c r="EK57" i="1" s="1"/>
  <c r="EG52" i="1"/>
  <c r="EI52" i="1" s="1"/>
  <c r="EK52" i="1" s="1"/>
  <c r="EG48" i="1"/>
  <c r="EI48" i="1" s="1"/>
  <c r="EK48" i="1" s="1"/>
  <c r="EG44" i="1"/>
  <c r="EI44" i="1" s="1"/>
  <c r="EK44" i="1" s="1"/>
  <c r="EG40" i="1"/>
  <c r="EI40" i="1" s="1"/>
  <c r="EK40" i="1" s="1"/>
  <c r="EG36" i="1"/>
  <c r="EI36" i="1" s="1"/>
  <c r="EK36" i="1" s="1"/>
  <c r="EG31" i="1"/>
  <c r="EI31" i="1" s="1"/>
  <c r="EK31" i="1" s="1"/>
  <c r="EG27" i="1"/>
  <c r="EI27" i="1" s="1"/>
  <c r="EK27" i="1" s="1"/>
  <c r="EG23" i="1"/>
  <c r="EI23" i="1" s="1"/>
  <c r="EK23" i="1" s="1"/>
  <c r="EG271" i="1"/>
  <c r="EI271" i="1" s="1"/>
  <c r="EK271" i="1" s="1"/>
  <c r="EG268" i="1"/>
  <c r="EI268" i="1" s="1"/>
  <c r="EK268" i="1" s="1"/>
  <c r="EG264" i="1"/>
  <c r="EI264" i="1" s="1"/>
  <c r="EK264" i="1" s="1"/>
  <c r="EG260" i="1"/>
  <c r="EI260" i="1" s="1"/>
  <c r="EK260" i="1" s="1"/>
  <c r="EG256" i="1"/>
  <c r="EI256" i="1" s="1"/>
  <c r="EK256" i="1" s="1"/>
  <c r="EG252" i="1"/>
  <c r="EI252" i="1" s="1"/>
  <c r="EK252" i="1" s="1"/>
  <c r="EG248" i="1"/>
  <c r="EI248" i="1" s="1"/>
  <c r="EK248" i="1" s="1"/>
  <c r="EG243" i="1"/>
  <c r="EI243" i="1" s="1"/>
  <c r="EK243" i="1" s="1"/>
  <c r="EG239" i="1"/>
  <c r="EI239" i="1" s="1"/>
  <c r="EK239" i="1" s="1"/>
  <c r="EG233" i="1"/>
  <c r="EI233" i="1" s="1"/>
  <c r="EK233" i="1" s="1"/>
  <c r="EG229" i="1"/>
  <c r="EI229" i="1" s="1"/>
  <c r="EK229" i="1" s="1"/>
  <c r="EG225" i="1"/>
  <c r="EI225" i="1" s="1"/>
  <c r="EK225" i="1" s="1"/>
  <c r="EG221" i="1"/>
  <c r="EI221" i="1" s="1"/>
  <c r="EK221" i="1" s="1"/>
  <c r="EG217" i="1"/>
  <c r="EI217" i="1" s="1"/>
  <c r="EK217" i="1" s="1"/>
  <c r="EG213" i="1"/>
  <c r="EI213" i="1" s="1"/>
  <c r="EK213" i="1" s="1"/>
  <c r="EG205" i="1"/>
  <c r="EI205" i="1" s="1"/>
  <c r="EK205" i="1" s="1"/>
  <c r="EG201" i="1"/>
  <c r="EI201" i="1" s="1"/>
  <c r="EK201" i="1" s="1"/>
  <c r="EG197" i="1"/>
  <c r="EI197" i="1" s="1"/>
  <c r="EK197" i="1" s="1"/>
  <c r="EG193" i="1"/>
  <c r="EI193" i="1" s="1"/>
  <c r="EK193" i="1" s="1"/>
  <c r="EG189" i="1"/>
  <c r="EI189" i="1" s="1"/>
  <c r="EK189" i="1" s="1"/>
  <c r="EG185" i="1"/>
  <c r="EI185" i="1" s="1"/>
  <c r="EK185" i="1" s="1"/>
  <c r="EG181" i="1"/>
  <c r="EI181" i="1" s="1"/>
  <c r="EK181" i="1" s="1"/>
  <c r="EG177" i="1"/>
  <c r="EI177" i="1" s="1"/>
  <c r="EK177" i="1" s="1"/>
  <c r="EG173" i="1"/>
  <c r="EI173" i="1" s="1"/>
  <c r="EK173" i="1" s="1"/>
  <c r="EG169" i="1"/>
  <c r="EI169" i="1" s="1"/>
  <c r="EK169" i="1" s="1"/>
  <c r="EG165" i="1"/>
  <c r="EI165" i="1" s="1"/>
  <c r="EK165" i="1" s="1"/>
  <c r="EG160" i="1"/>
  <c r="EI160" i="1" s="1"/>
  <c r="EK160" i="1" s="1"/>
  <c r="EG156" i="1"/>
  <c r="EI156" i="1" s="1"/>
  <c r="EK156" i="1" s="1"/>
  <c r="EG152" i="1"/>
  <c r="EI152" i="1" s="1"/>
  <c r="EK152" i="1" s="1"/>
  <c r="EG148" i="1"/>
  <c r="EI148" i="1" s="1"/>
  <c r="EK148" i="1" s="1"/>
  <c r="EG144" i="1"/>
  <c r="EI144" i="1" s="1"/>
  <c r="EK144" i="1" s="1"/>
  <c r="EG140" i="1"/>
  <c r="EI140" i="1" s="1"/>
  <c r="EK140" i="1" s="1"/>
  <c r="EG136" i="1"/>
  <c r="EI136" i="1" s="1"/>
  <c r="EK136" i="1" s="1"/>
  <c r="EG131" i="1"/>
  <c r="EI131" i="1" s="1"/>
  <c r="EK131" i="1" s="1"/>
  <c r="EG126" i="1"/>
  <c r="EI126" i="1" s="1"/>
  <c r="EK126" i="1" s="1"/>
  <c r="EG122" i="1"/>
  <c r="EI122" i="1" s="1"/>
  <c r="EK122" i="1" s="1"/>
  <c r="EG118" i="1"/>
  <c r="EI118" i="1" s="1"/>
  <c r="EK118" i="1" s="1"/>
  <c r="EG109" i="1"/>
  <c r="EI109" i="1" s="1"/>
  <c r="EK109" i="1" s="1"/>
  <c r="EG105" i="1"/>
  <c r="EI105" i="1" s="1"/>
  <c r="EK105" i="1" s="1"/>
  <c r="EG101" i="1"/>
  <c r="EI101" i="1" s="1"/>
  <c r="EK101" i="1" s="1"/>
  <c r="EG97" i="1"/>
  <c r="EI97" i="1" s="1"/>
  <c r="EK97" i="1" s="1"/>
  <c r="EG93" i="1"/>
  <c r="EI93" i="1" s="1"/>
  <c r="EK93" i="1" s="1"/>
  <c r="EG124" i="1"/>
  <c r="EI124" i="1" s="1"/>
  <c r="EK124" i="1" s="1"/>
  <c r="EG85" i="1"/>
  <c r="EI85" i="1" s="1"/>
  <c r="EK85" i="1" s="1"/>
  <c r="EG81" i="1"/>
  <c r="EI81" i="1" s="1"/>
  <c r="EK81" i="1" s="1"/>
  <c r="EG77" i="1"/>
  <c r="EI77" i="1" s="1"/>
  <c r="EK77" i="1" s="1"/>
  <c r="EG73" i="1"/>
  <c r="EI73" i="1" s="1"/>
  <c r="EK73" i="1" s="1"/>
  <c r="EG69" i="1"/>
  <c r="EI69" i="1" s="1"/>
  <c r="EK69" i="1" s="1"/>
  <c r="EG64" i="1"/>
  <c r="EI64" i="1" s="1"/>
  <c r="EK64" i="1" s="1"/>
  <c r="EG60" i="1"/>
  <c r="EI60" i="1" s="1"/>
  <c r="EK60" i="1" s="1"/>
  <c r="EG56" i="1"/>
  <c r="EI56" i="1" s="1"/>
  <c r="EK56" i="1" s="1"/>
  <c r="EG51" i="1"/>
  <c r="EI51" i="1" s="1"/>
  <c r="EK51" i="1" s="1"/>
  <c r="EG47" i="1"/>
  <c r="EI47" i="1" s="1"/>
  <c r="EK47" i="1" s="1"/>
  <c r="EG43" i="1"/>
  <c r="EI43" i="1" s="1"/>
  <c r="EK43" i="1" s="1"/>
  <c r="EG39" i="1"/>
  <c r="EI39" i="1" s="1"/>
  <c r="EK39" i="1" s="1"/>
  <c r="EG34" i="1"/>
  <c r="EI34" i="1" s="1"/>
  <c r="EK34" i="1" s="1"/>
  <c r="EG30" i="1"/>
  <c r="EI30" i="1" s="1"/>
  <c r="EK30" i="1" s="1"/>
  <c r="EG26" i="1"/>
  <c r="EI26" i="1" s="1"/>
  <c r="EK26" i="1" s="1"/>
  <c r="EG267" i="1"/>
  <c r="EI267" i="1" s="1"/>
  <c r="EK267" i="1" s="1"/>
  <c r="EG263" i="1"/>
  <c r="EI263" i="1" s="1"/>
  <c r="EK263" i="1" s="1"/>
  <c r="EG259" i="1"/>
  <c r="EI259" i="1" s="1"/>
  <c r="EK259" i="1" s="1"/>
  <c r="EG202" i="1"/>
  <c r="EI202" i="1" s="1"/>
  <c r="EK202" i="1" s="1"/>
  <c r="EG251" i="1"/>
  <c r="EI251" i="1" s="1"/>
  <c r="EK251" i="1" s="1"/>
  <c r="EG247" i="1"/>
  <c r="EI247" i="1" s="1"/>
  <c r="EK247" i="1" s="1"/>
  <c r="EG242" i="1"/>
  <c r="EI242" i="1" s="1"/>
  <c r="EK242" i="1" s="1"/>
  <c r="EG237" i="1"/>
  <c r="EI237" i="1" s="1"/>
  <c r="EK237" i="1" s="1"/>
  <c r="EG232" i="1"/>
  <c r="EI232" i="1" s="1"/>
  <c r="EK232" i="1" s="1"/>
  <c r="EG228" i="1"/>
  <c r="EI228" i="1" s="1"/>
  <c r="EK228" i="1" s="1"/>
  <c r="EG224" i="1"/>
  <c r="EI224" i="1" s="1"/>
  <c r="EK224" i="1" s="1"/>
  <c r="EG220" i="1"/>
  <c r="EI220" i="1" s="1"/>
  <c r="EK220" i="1" s="1"/>
  <c r="EG216" i="1"/>
  <c r="EI216" i="1" s="1"/>
  <c r="EK216" i="1" s="1"/>
  <c r="EG212" i="1"/>
  <c r="EI212" i="1" s="1"/>
  <c r="EK212" i="1" s="1"/>
  <c r="EG208" i="1"/>
  <c r="EI208" i="1" s="1"/>
  <c r="EK208" i="1" s="1"/>
  <c r="EG204" i="1"/>
  <c r="EI204" i="1" s="1"/>
  <c r="EK204" i="1" s="1"/>
  <c r="EG200" i="1"/>
  <c r="EI200" i="1" s="1"/>
  <c r="EK200" i="1" s="1"/>
  <c r="EG196" i="1"/>
  <c r="EI196" i="1" s="1"/>
  <c r="EK196" i="1" s="1"/>
  <c r="EG192" i="1"/>
  <c r="EI192" i="1" s="1"/>
  <c r="EK192" i="1" s="1"/>
  <c r="EG188" i="1"/>
  <c r="EI188" i="1" s="1"/>
  <c r="EK188" i="1" s="1"/>
  <c r="EG191" i="1"/>
  <c r="EI191" i="1" s="1"/>
  <c r="EK191" i="1" s="1"/>
  <c r="EG176" i="1"/>
  <c r="EI176" i="1" s="1"/>
  <c r="EK176" i="1" s="1"/>
  <c r="EG172" i="1"/>
  <c r="EI172" i="1" s="1"/>
  <c r="EK172" i="1" s="1"/>
  <c r="EG168" i="1"/>
  <c r="EI168" i="1" s="1"/>
  <c r="EK168" i="1" s="1"/>
  <c r="EG164" i="1"/>
  <c r="EI164" i="1" s="1"/>
  <c r="EK164" i="1" s="1"/>
  <c r="EG159" i="1"/>
  <c r="EI159" i="1" s="1"/>
  <c r="EK159" i="1" s="1"/>
  <c r="EG92" i="1"/>
  <c r="EI92" i="1" s="1"/>
  <c r="EK92" i="1" s="1"/>
  <c r="EG151" i="1"/>
  <c r="EI151" i="1" s="1"/>
  <c r="EK151" i="1" s="1"/>
  <c r="EG147" i="1"/>
  <c r="EI147" i="1" s="1"/>
  <c r="EK147" i="1" s="1"/>
  <c r="EG143" i="1"/>
  <c r="EI143" i="1" s="1"/>
  <c r="EK143" i="1" s="1"/>
  <c r="EG139" i="1"/>
  <c r="EI139" i="1" s="1"/>
  <c r="EK139" i="1" s="1"/>
  <c r="EG135" i="1"/>
  <c r="EI135" i="1" s="1"/>
  <c r="EK135" i="1" s="1"/>
  <c r="EG130" i="1"/>
  <c r="EI130" i="1" s="1"/>
  <c r="EK130" i="1" s="1"/>
  <c r="EG125" i="1"/>
  <c r="EI125" i="1" s="1"/>
  <c r="EK125" i="1" s="1"/>
  <c r="EG117" i="1"/>
  <c r="EI117" i="1" s="1"/>
  <c r="EK117" i="1" s="1"/>
  <c r="EG112" i="1"/>
  <c r="EI112" i="1" s="1"/>
  <c r="EK112" i="1" s="1"/>
  <c r="EG108" i="1"/>
  <c r="EI108" i="1" s="1"/>
  <c r="EK108" i="1" s="1"/>
  <c r="EG104" i="1"/>
  <c r="EI104" i="1" s="1"/>
  <c r="EK104" i="1" s="1"/>
  <c r="EG100" i="1"/>
  <c r="EI100" i="1" s="1"/>
  <c r="EK100" i="1" s="1"/>
  <c r="EG96" i="1"/>
  <c r="EI96" i="1" s="1"/>
  <c r="EK96" i="1" s="1"/>
  <c r="EG88" i="1"/>
  <c r="EI88" i="1" s="1"/>
  <c r="EK88" i="1" s="1"/>
  <c r="EG84" i="1"/>
  <c r="EI84" i="1" s="1"/>
  <c r="EK84" i="1" s="1"/>
  <c r="EG80" i="1"/>
  <c r="EI80" i="1" s="1"/>
  <c r="EK80" i="1" s="1"/>
  <c r="EG76" i="1"/>
  <c r="EI76" i="1" s="1"/>
  <c r="EK76" i="1" s="1"/>
  <c r="EG72" i="1"/>
  <c r="EI72" i="1" s="1"/>
  <c r="EK72" i="1" s="1"/>
  <c r="EG68" i="1"/>
  <c r="EI68" i="1" s="1"/>
  <c r="EK68" i="1" s="1"/>
  <c r="EG63" i="1"/>
  <c r="EI63" i="1" s="1"/>
  <c r="EK63" i="1" s="1"/>
  <c r="EG59" i="1"/>
  <c r="EI59" i="1" s="1"/>
  <c r="EK59" i="1" s="1"/>
  <c r="EG54" i="1"/>
  <c r="EI54" i="1" s="1"/>
  <c r="EK54" i="1" s="1"/>
  <c r="EG50" i="1"/>
  <c r="EI50" i="1" s="1"/>
  <c r="EK50" i="1" s="1"/>
  <c r="EG46" i="1"/>
  <c r="EI46" i="1" s="1"/>
  <c r="EK46" i="1" s="1"/>
  <c r="EG42" i="1"/>
  <c r="EI42" i="1" s="1"/>
  <c r="EK42" i="1" s="1"/>
  <c r="EG38" i="1"/>
  <c r="EI38" i="1" s="1"/>
  <c r="EK38" i="1" s="1"/>
  <c r="EG33" i="1"/>
  <c r="EI33" i="1" s="1"/>
  <c r="EK33" i="1" s="1"/>
  <c r="EG29" i="1"/>
  <c r="EI29" i="1" s="1"/>
  <c r="EK29" i="1" s="1"/>
  <c r="EG25" i="1"/>
  <c r="EI25" i="1" s="1"/>
  <c r="EK25" i="1" s="1"/>
  <c r="EG270" i="1"/>
  <c r="EI270" i="1" s="1"/>
  <c r="EK270" i="1" s="1"/>
  <c r="EG266" i="1"/>
  <c r="EI266" i="1" s="1"/>
  <c r="EK266" i="1" s="1"/>
  <c r="EG262" i="1"/>
  <c r="EI262" i="1" s="1"/>
  <c r="EK262" i="1" s="1"/>
  <c r="EG258" i="1"/>
  <c r="EI258" i="1" s="1"/>
  <c r="EK258" i="1" s="1"/>
  <c r="EG254" i="1"/>
  <c r="EI254" i="1" s="1"/>
  <c r="EK254" i="1" s="1"/>
  <c r="EG250" i="1"/>
  <c r="EI250" i="1" s="1"/>
  <c r="EK250" i="1" s="1"/>
  <c r="EG246" i="1"/>
  <c r="EI246" i="1" s="1"/>
  <c r="EK246" i="1" s="1"/>
  <c r="EG241" i="1"/>
  <c r="EI241" i="1" s="1"/>
  <c r="EK241" i="1" s="1"/>
  <c r="EG235" i="1"/>
  <c r="EI235" i="1" s="1"/>
  <c r="EK235" i="1" s="1"/>
  <c r="EG231" i="1"/>
  <c r="EI231" i="1" s="1"/>
  <c r="EK231" i="1" s="1"/>
  <c r="EG227" i="1"/>
  <c r="EI227" i="1" s="1"/>
  <c r="EK227" i="1" s="1"/>
  <c r="EG223" i="1"/>
  <c r="EI223" i="1" s="1"/>
  <c r="EK223" i="1" s="1"/>
  <c r="EG219" i="1"/>
  <c r="EI219" i="1" s="1"/>
  <c r="EK219" i="1" s="1"/>
  <c r="EG215" i="1"/>
  <c r="EI215" i="1" s="1"/>
  <c r="EK215" i="1" s="1"/>
  <c r="EG211" i="1"/>
  <c r="EI211" i="1" s="1"/>
  <c r="EK211" i="1" s="1"/>
  <c r="EG207" i="1"/>
  <c r="EI207" i="1" s="1"/>
  <c r="EK207" i="1" s="1"/>
  <c r="EG203" i="1"/>
  <c r="EI203" i="1" s="1"/>
  <c r="EK203" i="1" s="1"/>
  <c r="EG199" i="1"/>
  <c r="EI199" i="1" s="1"/>
  <c r="EK199" i="1" s="1"/>
  <c r="EG195" i="1"/>
  <c r="EI195" i="1" s="1"/>
  <c r="EK195" i="1" s="1"/>
  <c r="EG35" i="1"/>
  <c r="EI35" i="1" s="1"/>
  <c r="EK35" i="1" s="1"/>
  <c r="EG187" i="1"/>
  <c r="EI187" i="1" s="1"/>
  <c r="EK187" i="1" s="1"/>
  <c r="EG183" i="1"/>
  <c r="EI183" i="1" s="1"/>
  <c r="EK183" i="1" s="1"/>
  <c r="EG179" i="1"/>
  <c r="EI179" i="1" s="1"/>
  <c r="EK179" i="1" s="1"/>
  <c r="EG175" i="1"/>
  <c r="EI175" i="1" s="1"/>
  <c r="EK175" i="1" s="1"/>
  <c r="EG171" i="1"/>
  <c r="EI171" i="1" s="1"/>
  <c r="EK171" i="1" s="1"/>
  <c r="EG167" i="1"/>
  <c r="EI167" i="1" s="1"/>
  <c r="EK167" i="1" s="1"/>
  <c r="EG162" i="1"/>
  <c r="EI162" i="1" s="1"/>
  <c r="EK162" i="1" s="1"/>
  <c r="EG158" i="1"/>
  <c r="EI158" i="1" s="1"/>
  <c r="EK158" i="1" s="1"/>
  <c r="EG154" i="1"/>
  <c r="EI154" i="1" s="1"/>
  <c r="EK154" i="1" s="1"/>
  <c r="EG150" i="1"/>
  <c r="EI150" i="1" s="1"/>
  <c r="EK150" i="1" s="1"/>
  <c r="EG146" i="1"/>
  <c r="EI146" i="1" s="1"/>
  <c r="EK146" i="1" s="1"/>
  <c r="EG142" i="1"/>
  <c r="EI142" i="1" s="1"/>
  <c r="EK142" i="1" s="1"/>
  <c r="EG138" i="1"/>
  <c r="EI138" i="1" s="1"/>
  <c r="EK138" i="1" s="1"/>
  <c r="EG134" i="1"/>
  <c r="EI134" i="1" s="1"/>
  <c r="EK134" i="1" s="1"/>
  <c r="EG129" i="1"/>
  <c r="EI129" i="1" s="1"/>
  <c r="EK129" i="1" s="1"/>
  <c r="EG116" i="1"/>
  <c r="EI116" i="1" s="1"/>
  <c r="EK116" i="1" s="1"/>
  <c r="EG111" i="1"/>
  <c r="EI111" i="1" s="1"/>
  <c r="EK111" i="1" s="1"/>
  <c r="EG107" i="1"/>
  <c r="EI107" i="1" s="1"/>
  <c r="EK107" i="1" s="1"/>
  <c r="EG103" i="1"/>
  <c r="EI103" i="1" s="1"/>
  <c r="EK103" i="1" s="1"/>
  <c r="EG99" i="1"/>
  <c r="EI99" i="1" s="1"/>
  <c r="EK99" i="1" s="1"/>
  <c r="EG95" i="1"/>
  <c r="EI95" i="1" s="1"/>
  <c r="EK95" i="1" s="1"/>
  <c r="EG91" i="1"/>
  <c r="EI91" i="1" s="1"/>
  <c r="EK91" i="1" s="1"/>
  <c r="EG87" i="1"/>
  <c r="EI87" i="1" s="1"/>
  <c r="EK87" i="1" s="1"/>
  <c r="EG83" i="1"/>
  <c r="EI83" i="1" s="1"/>
  <c r="EK83" i="1" s="1"/>
  <c r="EG79" i="1"/>
  <c r="EI79" i="1" s="1"/>
  <c r="EK79" i="1" s="1"/>
  <c r="EG75" i="1"/>
  <c r="EI75" i="1" s="1"/>
  <c r="EK75" i="1" s="1"/>
  <c r="EG71" i="1"/>
  <c r="EI71" i="1" s="1"/>
  <c r="EK71" i="1" s="1"/>
  <c r="EG66" i="1"/>
  <c r="EI66" i="1" s="1"/>
  <c r="EK66" i="1" s="1"/>
  <c r="EG62" i="1"/>
  <c r="EI62" i="1" s="1"/>
  <c r="EK62" i="1" s="1"/>
  <c r="EG58" i="1"/>
  <c r="EI58" i="1" s="1"/>
  <c r="EK58" i="1" s="1"/>
  <c r="EG53" i="1"/>
  <c r="EI53" i="1" s="1"/>
  <c r="EK53" i="1" s="1"/>
  <c r="EG49" i="1"/>
  <c r="EI49" i="1" s="1"/>
  <c r="EK49" i="1" s="1"/>
  <c r="EG45" i="1"/>
  <c r="EI45" i="1" s="1"/>
  <c r="EK45" i="1" s="1"/>
  <c r="EG41" i="1"/>
  <c r="EI41" i="1" s="1"/>
  <c r="EK41" i="1" s="1"/>
  <c r="EG37" i="1"/>
  <c r="EI37" i="1" s="1"/>
  <c r="EK37" i="1" s="1"/>
  <c r="EG32" i="1"/>
  <c r="EI32" i="1" s="1"/>
  <c r="EK32" i="1" s="1"/>
  <c r="EG28" i="1"/>
  <c r="EI28" i="1" s="1"/>
  <c r="EK28" i="1" s="1"/>
  <c r="EG24" i="1"/>
  <c r="EI24" i="1" s="1"/>
  <c r="EK24" i="1" s="1"/>
  <c r="EG180" i="1"/>
  <c r="EI180" i="1" s="1"/>
  <c r="EK180" i="1" s="1"/>
  <c r="EG153" i="1"/>
  <c r="EI153" i="1" s="1"/>
  <c r="EK153" i="1" s="1"/>
  <c r="EG120" i="1"/>
  <c r="EI120" i="1" s="1"/>
  <c r="EK120" i="1" s="1"/>
  <c r="EG114" i="1"/>
  <c r="EI114" i="1" s="1"/>
  <c r="EK114" i="1" s="1"/>
  <c r="EG89" i="1"/>
  <c r="EI89" i="1" s="1"/>
  <c r="EK89" i="1" s="1"/>
  <c r="EG70" i="1"/>
  <c r="EI70" i="1" s="1"/>
  <c r="EK70" i="1" s="1"/>
  <c r="EG67" i="1"/>
  <c r="EI67" i="1" s="1"/>
  <c r="EK67" i="1" s="1"/>
  <c r="EG19" i="1"/>
  <c r="EI19" i="1" s="1"/>
  <c r="EK19" i="1" s="1"/>
  <c r="EI155" i="1"/>
  <c r="EK155" i="1" s="1"/>
  <c r="DW256" i="1"/>
  <c r="DW244" i="1"/>
  <c r="DW224" i="1"/>
  <c r="DW204" i="1"/>
  <c r="DW192" i="1"/>
  <c r="DW172" i="1"/>
  <c r="DW160" i="1"/>
  <c r="DW141" i="1"/>
  <c r="DW129" i="1"/>
  <c r="DW109" i="1"/>
  <c r="DW97" i="1"/>
  <c r="DW93" i="1"/>
  <c r="DW124" i="1"/>
  <c r="DW85" i="1"/>
  <c r="DW81" i="1"/>
  <c r="DW77" i="1"/>
  <c r="DW73" i="1"/>
  <c r="DW69" i="1"/>
  <c r="DW127" i="1"/>
  <c r="DW61" i="1"/>
  <c r="DW57" i="1"/>
  <c r="DW53" i="1"/>
  <c r="DW49" i="1"/>
  <c r="DW45" i="1"/>
  <c r="DW41" i="1"/>
  <c r="DW37" i="1"/>
  <c r="DW33" i="1"/>
  <c r="DW29" i="1"/>
  <c r="DW25" i="1"/>
  <c r="DW21" i="1"/>
  <c r="DW17" i="1"/>
  <c r="DW13" i="1"/>
  <c r="DW9" i="1"/>
  <c r="DW271" i="1"/>
  <c r="DW268" i="1"/>
  <c r="DW264" i="1"/>
  <c r="DW257" i="1"/>
  <c r="DW253" i="1"/>
  <c r="DW245" i="1"/>
  <c r="DW241" i="1"/>
  <c r="DW233" i="1"/>
  <c r="DW225" i="1"/>
  <c r="DW217" i="1"/>
  <c r="DW114" i="1"/>
  <c r="DW201" i="1"/>
  <c r="DW197" i="1"/>
  <c r="DW189" i="1"/>
  <c r="DW181" i="1"/>
  <c r="DW173" i="1"/>
  <c r="DW165" i="1"/>
  <c r="DW157" i="1"/>
  <c r="DW146" i="1"/>
  <c r="DW138" i="1"/>
  <c r="DW130" i="1"/>
  <c r="DW122" i="1"/>
  <c r="DW118" i="1"/>
  <c r="DW110" i="1"/>
  <c r="DW106" i="1"/>
  <c r="DW98" i="1"/>
  <c r="DW94" i="1"/>
  <c r="DW163" i="1"/>
  <c r="DW86" i="1"/>
  <c r="DW82" i="1"/>
  <c r="DW78" i="1"/>
  <c r="DW74" i="1"/>
  <c r="DW184" i="1"/>
  <c r="DW66" i="1"/>
  <c r="DW62" i="1"/>
  <c r="DW54" i="1"/>
  <c r="DW46" i="1"/>
  <c r="DW38" i="1"/>
  <c r="DW30" i="1"/>
  <c r="DW22" i="1"/>
  <c r="DW186" i="1"/>
  <c r="DW267" i="1"/>
  <c r="DW252" i="1"/>
  <c r="DW236" i="1"/>
  <c r="DW228" i="1"/>
  <c r="DW220" i="1"/>
  <c r="DW208" i="1"/>
  <c r="DW196" i="1"/>
  <c r="DW191" i="1"/>
  <c r="DW176" i="1"/>
  <c r="DW168" i="1"/>
  <c r="DW120" i="1"/>
  <c r="DW145" i="1"/>
  <c r="DW137" i="1"/>
  <c r="DW125" i="1"/>
  <c r="DW113" i="1"/>
  <c r="DW101" i="1"/>
  <c r="DW269" i="1"/>
  <c r="DW266" i="1"/>
  <c r="DW263" i="1"/>
  <c r="DW259" i="1"/>
  <c r="DW202" i="1"/>
  <c r="DW251" i="1"/>
  <c r="DW247" i="1"/>
  <c r="DW243" i="1"/>
  <c r="DW239" i="1"/>
  <c r="DW235" i="1"/>
  <c r="DW231" i="1"/>
  <c r="DW227" i="1"/>
  <c r="DW223" i="1"/>
  <c r="DW219" i="1"/>
  <c r="DW215" i="1"/>
  <c r="DW211" i="1"/>
  <c r="DW207" i="1"/>
  <c r="DW203" i="1"/>
  <c r="DW199" i="1"/>
  <c r="DW195" i="1"/>
  <c r="DW35" i="1"/>
  <c r="DW187" i="1"/>
  <c r="DW183" i="1"/>
  <c r="DW179" i="1"/>
  <c r="DW175" i="1"/>
  <c r="DW171" i="1"/>
  <c r="DW167" i="1"/>
  <c r="DW65" i="1"/>
  <c r="DW159" i="1"/>
  <c r="DW92" i="1"/>
  <c r="DW152" i="1"/>
  <c r="DW148" i="1"/>
  <c r="DW144" i="1"/>
  <c r="DW140" i="1"/>
  <c r="DW136" i="1"/>
  <c r="DW132" i="1"/>
  <c r="DW128" i="1"/>
  <c r="DW153" i="1"/>
  <c r="DW67" i="1"/>
  <c r="DW116" i="1"/>
  <c r="DW112" i="1"/>
  <c r="DW108" i="1"/>
  <c r="DW104" i="1"/>
  <c r="DW100" i="1"/>
  <c r="DW96" i="1"/>
  <c r="DW88" i="1"/>
  <c r="DW84" i="1"/>
  <c r="DW80" i="1"/>
  <c r="DW76" i="1"/>
  <c r="DW72" i="1"/>
  <c r="DW68" i="1"/>
  <c r="DW64" i="1"/>
  <c r="DW60" i="1"/>
  <c r="DW56" i="1"/>
  <c r="DW52" i="1"/>
  <c r="DW48" i="1"/>
  <c r="DW44" i="1"/>
  <c r="DW40" i="1"/>
  <c r="DW36" i="1"/>
  <c r="DW32" i="1"/>
  <c r="DW28" i="1"/>
  <c r="DW24" i="1"/>
  <c r="DW20" i="1"/>
  <c r="DW16" i="1"/>
  <c r="DW12" i="1"/>
  <c r="DW261" i="1"/>
  <c r="DW249" i="1"/>
  <c r="DW237" i="1"/>
  <c r="DW229" i="1"/>
  <c r="DW221" i="1"/>
  <c r="DW213" i="1"/>
  <c r="DW205" i="1"/>
  <c r="DW193" i="1"/>
  <c r="DW185" i="1"/>
  <c r="DW177" i="1"/>
  <c r="DW169" i="1"/>
  <c r="DW161" i="1"/>
  <c r="DW150" i="1"/>
  <c r="DW142" i="1"/>
  <c r="DW134" i="1"/>
  <c r="DW126" i="1"/>
  <c r="DW89" i="1"/>
  <c r="DW102" i="1"/>
  <c r="DW58" i="1"/>
  <c r="DW50" i="1"/>
  <c r="DW42" i="1"/>
  <c r="DW34" i="1"/>
  <c r="DW26" i="1"/>
  <c r="DW18" i="1"/>
  <c r="DW10" i="1"/>
  <c r="DW270" i="1"/>
  <c r="DW260" i="1"/>
  <c r="DW248" i="1"/>
  <c r="DW240" i="1"/>
  <c r="DW232" i="1"/>
  <c r="DW216" i="1"/>
  <c r="DW212" i="1"/>
  <c r="DW200" i="1"/>
  <c r="DW188" i="1"/>
  <c r="DW155" i="1"/>
  <c r="DW164" i="1"/>
  <c r="DW156" i="1"/>
  <c r="DW149" i="1"/>
  <c r="DW133" i="1"/>
  <c r="DW70" i="1"/>
  <c r="DW117" i="1"/>
  <c r="DW105" i="1"/>
  <c r="DW265" i="1"/>
  <c r="DW262" i="1"/>
  <c r="DW258" i="1"/>
  <c r="DW254" i="1"/>
  <c r="DW250" i="1"/>
  <c r="DW246" i="1"/>
  <c r="DW242" i="1"/>
  <c r="DW238" i="1"/>
  <c r="DW234" i="1"/>
  <c r="DW230" i="1"/>
  <c r="DW226" i="1"/>
  <c r="DW222" i="1"/>
  <c r="DW218" i="1"/>
  <c r="DW214" i="1"/>
  <c r="DW210" i="1"/>
  <c r="DW206" i="1"/>
  <c r="DW255" i="1"/>
  <c r="DW198" i="1"/>
  <c r="DW194" i="1"/>
  <c r="DW190" i="1"/>
  <c r="DW19" i="1"/>
  <c r="DW182" i="1"/>
  <c r="DW178" i="1"/>
  <c r="DW174" i="1"/>
  <c r="DW170" i="1"/>
  <c r="DW166" i="1"/>
  <c r="DW162" i="1"/>
  <c r="DW158" i="1"/>
  <c r="DW154" i="1"/>
  <c r="DW151" i="1"/>
  <c r="DW147" i="1"/>
  <c r="DW143" i="1"/>
  <c r="DW139" i="1"/>
  <c r="DW135" i="1"/>
  <c r="DW131" i="1"/>
  <c r="DW14" i="1"/>
  <c r="DW123" i="1"/>
  <c r="DW119" i="1"/>
  <c r="DW115" i="1"/>
  <c r="DW111" i="1"/>
  <c r="DW107" i="1"/>
  <c r="DW103" i="1"/>
  <c r="DW99" i="1"/>
  <c r="DW95" i="1"/>
  <c r="DW91" i="1"/>
  <c r="DW87" i="1"/>
  <c r="DW83" i="1"/>
  <c r="DW79" i="1"/>
  <c r="DW75" i="1"/>
  <c r="DW71" i="1"/>
  <c r="DW121" i="1"/>
  <c r="DW63" i="1"/>
  <c r="DW59" i="1"/>
  <c r="DW55" i="1"/>
  <c r="DW51" i="1"/>
  <c r="DW47" i="1"/>
  <c r="DW43" i="1"/>
  <c r="DW39" i="1"/>
  <c r="DW209" i="1"/>
  <c r="DW31" i="1"/>
  <c r="DW27" i="1"/>
  <c r="DW23" i="1"/>
  <c r="DW15" i="1"/>
  <c r="DW11" i="1"/>
  <c r="DW7" i="1"/>
  <c r="CP11" i="1" l="1"/>
  <c r="CJ63" i="1"/>
  <c r="CJ71" i="1"/>
  <c r="CP79" i="1"/>
  <c r="CJ91" i="1"/>
  <c r="CJ95" i="1"/>
  <c r="CJ135" i="1"/>
  <c r="CP139" i="1"/>
  <c r="CP151" i="1"/>
  <c r="CP222" i="1"/>
  <c r="CP226" i="1"/>
  <c r="CP10" i="1"/>
  <c r="CJ18" i="1"/>
  <c r="CJ22" i="1"/>
  <c r="CJ26" i="1"/>
  <c r="CJ30" i="1"/>
  <c r="CP34" i="1"/>
  <c r="CJ38" i="1"/>
  <c r="CP46" i="1"/>
  <c r="CP50" i="1"/>
  <c r="CP54" i="1"/>
  <c r="CJ62" i="1"/>
  <c r="CJ66" i="1"/>
  <c r="CP184" i="1"/>
  <c r="CP74" i="1"/>
  <c r="CP78" i="1"/>
  <c r="CJ82" i="1"/>
  <c r="CP86" i="1"/>
  <c r="CJ163" i="1"/>
  <c r="CP98" i="1"/>
  <c r="CP102" i="1"/>
  <c r="CP106" i="1"/>
  <c r="CP89" i="1"/>
  <c r="CP118" i="1"/>
  <c r="CP122" i="1"/>
  <c r="CP126" i="1"/>
  <c r="CP130" i="1"/>
  <c r="CJ134" i="1"/>
  <c r="CP138" i="1"/>
  <c r="CJ146" i="1"/>
  <c r="CJ150" i="1"/>
  <c r="CJ157" i="1"/>
  <c r="CJ161" i="1"/>
  <c r="CP165" i="1"/>
  <c r="CJ173" i="1"/>
  <c r="CP177" i="1"/>
  <c r="CP181" i="1"/>
  <c r="CJ189" i="1"/>
  <c r="CP193" i="1"/>
  <c r="CP197" i="1"/>
  <c r="CP205" i="1"/>
  <c r="CJ114" i="1"/>
  <c r="CJ217" i="1"/>
  <c r="CP225" i="1"/>
  <c r="CJ229" i="1"/>
  <c r="CJ233" i="1"/>
  <c r="CP237" i="1"/>
  <c r="CP241" i="1"/>
  <c r="CJ245" i="1"/>
  <c r="CP249" i="1"/>
  <c r="CP253" i="1"/>
  <c r="CP257" i="1"/>
  <c r="CJ261" i="1"/>
  <c r="CP264" i="1"/>
  <c r="CP268" i="1"/>
  <c r="CJ271" i="1"/>
  <c r="CP7" i="1"/>
  <c r="CP15" i="1"/>
  <c r="CP23" i="1"/>
  <c r="CJ31" i="1"/>
  <c r="CJ39" i="1"/>
  <c r="CP51" i="1"/>
  <c r="CJ75" i="1"/>
  <c r="CJ99" i="1"/>
  <c r="CJ107" i="1"/>
  <c r="CP111" i="1"/>
  <c r="CJ119" i="1"/>
  <c r="CJ14" i="1"/>
  <c r="CJ147" i="1"/>
  <c r="CP166" i="1"/>
  <c r="CJ174" i="1"/>
  <c r="CJ182" i="1"/>
  <c r="CP190" i="1"/>
  <c r="CJ198" i="1"/>
  <c r="CP206" i="1"/>
  <c r="CP210" i="1"/>
  <c r="CP234" i="1"/>
  <c r="CJ250" i="1"/>
  <c r="CJ258" i="1"/>
  <c r="CP9" i="1"/>
  <c r="CP17" i="1"/>
  <c r="CJ25" i="1"/>
  <c r="CP33" i="1"/>
  <c r="CP37" i="1"/>
  <c r="CP69" i="1"/>
  <c r="CP77" i="1"/>
  <c r="CJ85" i="1"/>
  <c r="CP113" i="1"/>
  <c r="CJ70" i="1"/>
  <c r="CP156" i="1"/>
  <c r="CJ168" i="1"/>
  <c r="CJ200" i="1"/>
  <c r="CP208" i="1"/>
  <c r="CP220" i="1"/>
  <c r="CP232" i="1"/>
  <c r="CP252" i="1"/>
  <c r="CJ267" i="1"/>
  <c r="CJ90" i="1"/>
  <c r="CP209" i="1"/>
  <c r="CJ43" i="1"/>
  <c r="CJ47" i="1"/>
  <c r="CP55" i="1"/>
  <c r="CP59" i="1"/>
  <c r="CJ83" i="1"/>
  <c r="CJ131" i="1"/>
  <c r="CP158" i="1"/>
  <c r="CJ162" i="1"/>
  <c r="CP170" i="1"/>
  <c r="CP178" i="1"/>
  <c r="CJ19" i="1"/>
  <c r="CJ194" i="1"/>
  <c r="CP255" i="1"/>
  <c r="CP230" i="1"/>
  <c r="CP242" i="1"/>
  <c r="CP246" i="1"/>
  <c r="CP254" i="1"/>
  <c r="CP262" i="1"/>
  <c r="CJ13" i="1"/>
  <c r="CP29" i="1"/>
  <c r="CP41" i="1"/>
  <c r="CJ49" i="1"/>
  <c r="CJ127" i="1"/>
  <c r="CJ73" i="1"/>
  <c r="CJ81" i="1"/>
  <c r="CJ124" i="1"/>
  <c r="CJ101" i="1"/>
  <c r="CJ129" i="1"/>
  <c r="CJ160" i="1"/>
  <c r="CJ172" i="1"/>
  <c r="CP196" i="1"/>
  <c r="CJ204" i="1"/>
  <c r="CP228" i="1"/>
  <c r="CJ236" i="1"/>
  <c r="CJ256" i="1"/>
  <c r="CJ8" i="1"/>
  <c r="CJ16" i="1"/>
  <c r="CJ24" i="1"/>
  <c r="CJ36" i="1"/>
  <c r="CJ40" i="1"/>
  <c r="CJ48" i="1"/>
  <c r="CJ52" i="1"/>
  <c r="CJ56" i="1"/>
  <c r="CJ64" i="1"/>
  <c r="CJ68" i="1"/>
  <c r="CJ72" i="1"/>
  <c r="CJ80" i="1"/>
  <c r="CJ84" i="1"/>
  <c r="CP88" i="1"/>
  <c r="CP104" i="1"/>
  <c r="CJ112" i="1"/>
  <c r="CP67" i="1"/>
  <c r="CP128" i="1"/>
  <c r="CP136" i="1"/>
  <c r="CJ140" i="1"/>
  <c r="CJ144" i="1"/>
  <c r="CJ152" i="1"/>
  <c r="CJ65" i="1"/>
  <c r="CJ167" i="1"/>
  <c r="CJ171" i="1"/>
  <c r="CJ175" i="1"/>
  <c r="CJ179" i="1"/>
  <c r="CJ183" i="1"/>
  <c r="CJ35" i="1"/>
  <c r="CJ195" i="1"/>
  <c r="CJ199" i="1"/>
  <c r="CJ211" i="1"/>
  <c r="CP215" i="1"/>
  <c r="CJ231" i="1"/>
  <c r="CP239" i="1"/>
  <c r="CJ247" i="1"/>
  <c r="CJ251" i="1"/>
  <c r="CJ202" i="1"/>
  <c r="CJ259" i="1"/>
  <c r="CJ263" i="1"/>
  <c r="CJ266" i="1"/>
  <c r="CP269" i="1"/>
  <c r="CJ197" i="1" l="1"/>
  <c r="CJ184" i="1"/>
  <c r="CJ226" i="1"/>
  <c r="CJ50" i="1"/>
  <c r="CJ77" i="1"/>
  <c r="CJ17" i="1"/>
  <c r="CJ54" i="1"/>
  <c r="CJ46" i="1"/>
  <c r="CJ34" i="1"/>
  <c r="CJ79" i="1"/>
  <c r="CJ11" i="1"/>
  <c r="CJ205" i="1"/>
  <c r="CJ78" i="1"/>
  <c r="CJ210" i="1"/>
  <c r="CJ23" i="1"/>
  <c r="CJ252" i="1"/>
  <c r="CJ151" i="1"/>
  <c r="CJ190" i="1"/>
  <c r="CJ118" i="1"/>
  <c r="CJ208" i="1"/>
  <c r="CJ51" i="1"/>
  <c r="CJ262" i="1"/>
  <c r="CJ242" i="1"/>
  <c r="CJ158" i="1"/>
  <c r="CJ106" i="1"/>
  <c r="CJ98" i="1"/>
  <c r="CJ170" i="1"/>
  <c r="CJ122" i="1"/>
  <c r="CJ89" i="1"/>
  <c r="CJ255" i="1"/>
  <c r="CJ225" i="1"/>
  <c r="CJ138" i="1"/>
  <c r="CJ130" i="1"/>
  <c r="CJ102" i="1"/>
  <c r="CP13" i="1"/>
  <c r="CJ249" i="1"/>
  <c r="CJ156" i="1"/>
  <c r="CJ264" i="1"/>
  <c r="CJ257" i="1"/>
  <c r="CJ10" i="1"/>
  <c r="CJ59" i="1"/>
  <c r="CJ139" i="1"/>
  <c r="CP14" i="1"/>
  <c r="CP107" i="1"/>
  <c r="CP233" i="1"/>
  <c r="CJ181" i="1"/>
  <c r="CJ241" i="1"/>
  <c r="CJ165" i="1"/>
  <c r="CJ206" i="1"/>
  <c r="CJ220" i="1"/>
  <c r="CP263" i="1"/>
  <c r="CP247" i="1"/>
  <c r="CP231" i="1"/>
  <c r="CP194" i="1"/>
  <c r="CP85" i="1"/>
  <c r="CJ7" i="1"/>
  <c r="CJ136" i="1"/>
  <c r="CJ104" i="1"/>
  <c r="CJ67" i="1"/>
  <c r="CJ193" i="1"/>
  <c r="CJ177" i="1"/>
  <c r="CP72" i="1"/>
  <c r="CP56" i="1"/>
  <c r="CP40" i="1"/>
  <c r="CP24" i="1"/>
  <c r="CP8" i="1"/>
  <c r="CP160" i="1"/>
  <c r="CP129" i="1"/>
  <c r="CJ33" i="1"/>
  <c r="CP90" i="1"/>
  <c r="CP182" i="1"/>
  <c r="CP147" i="1"/>
  <c r="CP39" i="1"/>
  <c r="CP189" i="1"/>
  <c r="CP173" i="1"/>
  <c r="CP62" i="1"/>
  <c r="CP38" i="1"/>
  <c r="CP135" i="1"/>
  <c r="CJ113" i="1"/>
  <c r="CP199" i="1"/>
  <c r="CP183" i="1"/>
  <c r="CP167" i="1"/>
  <c r="CP152" i="1"/>
  <c r="CJ234" i="1"/>
  <c r="CP124" i="1"/>
  <c r="CP19" i="1"/>
  <c r="CJ269" i="1"/>
  <c r="CJ239" i="1"/>
  <c r="CJ128" i="1"/>
  <c r="CJ209" i="1"/>
  <c r="CJ41" i="1"/>
  <c r="CJ55" i="1"/>
  <c r="CP258" i="1"/>
  <c r="CJ29" i="1"/>
  <c r="CN235" i="1"/>
  <c r="CO235" i="1"/>
  <c r="CK235" i="1"/>
  <c r="CL235" i="1"/>
  <c r="CN219" i="1"/>
  <c r="CO219" i="1"/>
  <c r="CK219" i="1"/>
  <c r="CL219" i="1"/>
  <c r="CN203" i="1"/>
  <c r="CO203" i="1"/>
  <c r="CK203" i="1"/>
  <c r="CL203" i="1"/>
  <c r="CN187" i="1"/>
  <c r="CO187" i="1"/>
  <c r="CK187" i="1"/>
  <c r="CL187" i="1"/>
  <c r="CN92" i="1"/>
  <c r="CO92" i="1"/>
  <c r="CK92" i="1"/>
  <c r="CL92" i="1"/>
  <c r="CN108" i="1"/>
  <c r="CO108" i="1"/>
  <c r="CK108" i="1"/>
  <c r="CL108" i="1"/>
  <c r="CN180" i="1"/>
  <c r="CO180" i="1"/>
  <c r="CK180" i="1"/>
  <c r="CL180" i="1"/>
  <c r="CN60" i="1"/>
  <c r="CO60" i="1"/>
  <c r="CK60" i="1"/>
  <c r="CL60" i="1"/>
  <c r="CN44" i="1"/>
  <c r="CO44" i="1"/>
  <c r="CK44" i="1"/>
  <c r="CL44" i="1"/>
  <c r="CO28" i="1"/>
  <c r="CK28" i="1"/>
  <c r="CL28" i="1"/>
  <c r="CN28" i="1"/>
  <c r="CO12" i="1"/>
  <c r="CK12" i="1"/>
  <c r="CN12" i="1"/>
  <c r="CL12" i="1"/>
  <c r="CO216" i="1"/>
  <c r="CK216" i="1"/>
  <c r="CL216" i="1"/>
  <c r="CN216" i="1"/>
  <c r="CO176" i="1"/>
  <c r="CK176" i="1"/>
  <c r="CL176" i="1"/>
  <c r="CN176" i="1"/>
  <c r="CO109" i="1"/>
  <c r="CK109" i="1"/>
  <c r="CL109" i="1"/>
  <c r="CN109" i="1"/>
  <c r="CO97" i="1"/>
  <c r="CN97" i="1"/>
  <c r="CK97" i="1"/>
  <c r="CL97" i="1"/>
  <c r="CN265" i="1"/>
  <c r="CO265" i="1"/>
  <c r="CK265" i="1"/>
  <c r="CL265" i="1"/>
  <c r="CN218" i="1"/>
  <c r="CO218" i="1"/>
  <c r="CK218" i="1"/>
  <c r="CL218" i="1"/>
  <c r="CO143" i="1"/>
  <c r="CN143" i="1"/>
  <c r="CK143" i="1"/>
  <c r="CL143" i="1"/>
  <c r="CO115" i="1"/>
  <c r="CK115" i="1"/>
  <c r="CN115" i="1"/>
  <c r="CL115" i="1"/>
  <c r="CO47" i="1"/>
  <c r="CN47" i="1"/>
  <c r="CK47" i="1"/>
  <c r="CL47" i="1"/>
  <c r="CN27" i="1"/>
  <c r="CO27" i="1"/>
  <c r="CK27" i="1"/>
  <c r="CL27" i="1"/>
  <c r="CO260" i="1"/>
  <c r="CL260" i="1"/>
  <c r="CK260" i="1"/>
  <c r="CN260" i="1"/>
  <c r="CO240" i="1"/>
  <c r="CL240" i="1"/>
  <c r="CN240" i="1"/>
  <c r="CK240" i="1"/>
  <c r="CN238" i="1"/>
  <c r="CO238" i="1"/>
  <c r="CK238" i="1"/>
  <c r="CL238" i="1"/>
  <c r="CN271" i="1"/>
  <c r="CO271" i="1"/>
  <c r="CK271" i="1"/>
  <c r="CL271" i="1"/>
  <c r="CL221" i="1"/>
  <c r="CN221" i="1"/>
  <c r="CO221" i="1"/>
  <c r="CK221" i="1"/>
  <c r="CL213" i="1"/>
  <c r="CN213" i="1"/>
  <c r="CK213" i="1"/>
  <c r="CO213" i="1"/>
  <c r="CN94" i="1"/>
  <c r="CO94" i="1"/>
  <c r="CL94" i="1"/>
  <c r="CK94" i="1"/>
  <c r="CN18" i="1"/>
  <c r="CO18" i="1"/>
  <c r="CL18" i="1"/>
  <c r="CK18" i="1"/>
  <c r="CN223" i="1"/>
  <c r="CO223" i="1"/>
  <c r="CK223" i="1"/>
  <c r="CL223" i="1"/>
  <c r="CP219" i="1"/>
  <c r="CJ213" i="1"/>
  <c r="CN207" i="1"/>
  <c r="CO207" i="1"/>
  <c r="CK207" i="1"/>
  <c r="CL207" i="1"/>
  <c r="CP203" i="1"/>
  <c r="CP92" i="1"/>
  <c r="CN112" i="1"/>
  <c r="CK112" i="1"/>
  <c r="CL112" i="1"/>
  <c r="CO112" i="1"/>
  <c r="CP108" i="1"/>
  <c r="CN96" i="1"/>
  <c r="CK96" i="1"/>
  <c r="CL96" i="1"/>
  <c r="CO96" i="1"/>
  <c r="CP180" i="1"/>
  <c r="CN153" i="1"/>
  <c r="CO153" i="1"/>
  <c r="CK153" i="1"/>
  <c r="CL153" i="1"/>
  <c r="CN76" i="1"/>
  <c r="CO76" i="1"/>
  <c r="CK76" i="1"/>
  <c r="CL76" i="1"/>
  <c r="CO117" i="1"/>
  <c r="CK117" i="1"/>
  <c r="CL117" i="1"/>
  <c r="CN117" i="1"/>
  <c r="CO53" i="1"/>
  <c r="CK53" i="1"/>
  <c r="CL53" i="1"/>
  <c r="CN53" i="1"/>
  <c r="CO149" i="1"/>
  <c r="CK149" i="1"/>
  <c r="CL149" i="1"/>
  <c r="CN149" i="1"/>
  <c r="CO141" i="1"/>
  <c r="CK141" i="1"/>
  <c r="CL141" i="1"/>
  <c r="CN141" i="1"/>
  <c r="CO61" i="1"/>
  <c r="CK61" i="1"/>
  <c r="CL61" i="1"/>
  <c r="CN61" i="1"/>
  <c r="CN250" i="1"/>
  <c r="CO250" i="1"/>
  <c r="CK250" i="1"/>
  <c r="CL250" i="1"/>
  <c r="CN146" i="1"/>
  <c r="CL146" i="1"/>
  <c r="CO146" i="1"/>
  <c r="CK146" i="1"/>
  <c r="CJ60" i="1"/>
  <c r="CJ44" i="1"/>
  <c r="CJ61" i="1"/>
  <c r="CP266" i="1"/>
  <c r="CN159" i="1"/>
  <c r="CK159" i="1"/>
  <c r="CO159" i="1"/>
  <c r="CL159" i="1"/>
  <c r="CN144" i="1"/>
  <c r="CK144" i="1"/>
  <c r="CL144" i="1"/>
  <c r="CO144" i="1"/>
  <c r="CP44" i="1"/>
  <c r="CN32" i="1"/>
  <c r="CK32" i="1"/>
  <c r="CL32" i="1"/>
  <c r="CO32" i="1"/>
  <c r="CP28" i="1"/>
  <c r="CO16" i="1"/>
  <c r="CN16" i="1"/>
  <c r="CK16" i="1"/>
  <c r="CL16" i="1"/>
  <c r="CP12" i="1"/>
  <c r="CO244" i="1"/>
  <c r="CL244" i="1"/>
  <c r="CN244" i="1"/>
  <c r="CK244" i="1"/>
  <c r="CO224" i="1"/>
  <c r="CK224" i="1"/>
  <c r="CL224" i="1"/>
  <c r="CN224" i="1"/>
  <c r="CP216" i="1"/>
  <c r="CO204" i="1"/>
  <c r="CK204" i="1"/>
  <c r="CL204" i="1"/>
  <c r="CN204" i="1"/>
  <c r="CK191" i="1"/>
  <c r="CN191" i="1"/>
  <c r="CL191" i="1"/>
  <c r="CO191" i="1"/>
  <c r="CP176" i="1"/>
  <c r="CN164" i="1"/>
  <c r="CK164" i="1"/>
  <c r="CO164" i="1"/>
  <c r="CL164" i="1"/>
  <c r="CO145" i="1"/>
  <c r="CN145" i="1"/>
  <c r="CK145" i="1"/>
  <c r="CL145" i="1"/>
  <c r="CO125" i="1"/>
  <c r="CK125" i="1"/>
  <c r="CL125" i="1"/>
  <c r="CN125" i="1"/>
  <c r="CP117" i="1"/>
  <c r="CP97" i="1"/>
  <c r="CO73" i="1"/>
  <c r="CN73" i="1"/>
  <c r="CK73" i="1"/>
  <c r="CL73" i="1"/>
  <c r="CP127" i="1"/>
  <c r="CP53" i="1"/>
  <c r="CN254" i="1"/>
  <c r="CO254" i="1"/>
  <c r="CK254" i="1"/>
  <c r="CL254" i="1"/>
  <c r="CO19" i="1"/>
  <c r="CN19" i="1"/>
  <c r="CK19" i="1"/>
  <c r="CL19" i="1"/>
  <c r="CO162" i="1"/>
  <c r="CN162" i="1"/>
  <c r="CK162" i="1"/>
  <c r="CL162" i="1"/>
  <c r="CP143" i="1"/>
  <c r="CO123" i="1"/>
  <c r="CK123" i="1"/>
  <c r="CN123" i="1"/>
  <c r="CL123" i="1"/>
  <c r="CJ109" i="1"/>
  <c r="CP47" i="1"/>
  <c r="CP27" i="1"/>
  <c r="CP260" i="1"/>
  <c r="CO248" i="1"/>
  <c r="CL248" i="1"/>
  <c r="CN248" i="1"/>
  <c r="CK248" i="1"/>
  <c r="CJ218" i="1"/>
  <c r="CN155" i="1"/>
  <c r="CK155" i="1"/>
  <c r="CO155" i="1"/>
  <c r="CL155" i="1"/>
  <c r="CK168" i="1"/>
  <c r="CN168" i="1"/>
  <c r="CL168" i="1"/>
  <c r="CO168" i="1"/>
  <c r="CJ248" i="1"/>
  <c r="CN198" i="1"/>
  <c r="CO198" i="1"/>
  <c r="CK198" i="1"/>
  <c r="CL198" i="1"/>
  <c r="CJ145" i="1"/>
  <c r="CJ125" i="1"/>
  <c r="CJ37" i="1"/>
  <c r="CP271" i="1"/>
  <c r="CN261" i="1"/>
  <c r="CK261" i="1"/>
  <c r="CL261" i="1"/>
  <c r="CO261" i="1"/>
  <c r="CN245" i="1"/>
  <c r="CK245" i="1"/>
  <c r="CL245" i="1"/>
  <c r="CO245" i="1"/>
  <c r="CL229" i="1"/>
  <c r="CN229" i="1"/>
  <c r="CK229" i="1"/>
  <c r="CO229" i="1"/>
  <c r="CJ219" i="1"/>
  <c r="CL201" i="1"/>
  <c r="CN201" i="1"/>
  <c r="CK201" i="1"/>
  <c r="CO201" i="1"/>
  <c r="CN185" i="1"/>
  <c r="CO185" i="1"/>
  <c r="CL185" i="1"/>
  <c r="CK185" i="1"/>
  <c r="CN169" i="1"/>
  <c r="CO169" i="1"/>
  <c r="CL169" i="1"/>
  <c r="CK169" i="1"/>
  <c r="CN161" i="1"/>
  <c r="CL161" i="1"/>
  <c r="CO161" i="1"/>
  <c r="CK161" i="1"/>
  <c r="CJ159" i="1"/>
  <c r="CN142" i="1"/>
  <c r="CO142" i="1"/>
  <c r="CL142" i="1"/>
  <c r="CK142" i="1"/>
  <c r="CN134" i="1"/>
  <c r="CO134" i="1"/>
  <c r="CL134" i="1"/>
  <c r="CK134" i="1"/>
  <c r="CN110" i="1"/>
  <c r="CO110" i="1"/>
  <c r="CL110" i="1"/>
  <c r="CK110" i="1"/>
  <c r="CN66" i="1"/>
  <c r="CL66" i="1"/>
  <c r="CO66" i="1"/>
  <c r="CK66" i="1"/>
  <c r="CN58" i="1"/>
  <c r="CL58" i="1"/>
  <c r="CO58" i="1"/>
  <c r="CK58" i="1"/>
  <c r="CN42" i="1"/>
  <c r="CL42" i="1"/>
  <c r="CO42" i="1"/>
  <c r="CK42" i="1"/>
  <c r="CO186" i="1"/>
  <c r="CL186" i="1"/>
  <c r="CK186" i="1"/>
  <c r="CN186" i="1"/>
  <c r="CN214" i="1"/>
  <c r="CO214" i="1"/>
  <c r="CK214" i="1"/>
  <c r="CL214" i="1"/>
  <c r="CP91" i="1"/>
  <c r="CN243" i="1"/>
  <c r="CO243" i="1"/>
  <c r="CK243" i="1"/>
  <c r="CL243" i="1"/>
  <c r="CN227" i="1"/>
  <c r="CO227" i="1"/>
  <c r="CK227" i="1"/>
  <c r="CL227" i="1"/>
  <c r="CP223" i="1"/>
  <c r="CN211" i="1"/>
  <c r="CO211" i="1"/>
  <c r="CK211" i="1"/>
  <c r="CL211" i="1"/>
  <c r="CP207" i="1"/>
  <c r="CJ201" i="1"/>
  <c r="CN195" i="1"/>
  <c r="CO195" i="1"/>
  <c r="CK195" i="1"/>
  <c r="CL195" i="1"/>
  <c r="CP35" i="1"/>
  <c r="CJ185" i="1"/>
  <c r="CK179" i="1"/>
  <c r="CN179" i="1"/>
  <c r="CL179" i="1"/>
  <c r="CO179" i="1"/>
  <c r="CP175" i="1"/>
  <c r="CJ169" i="1"/>
  <c r="CK65" i="1"/>
  <c r="CN65" i="1"/>
  <c r="CL65" i="1"/>
  <c r="CO65" i="1"/>
  <c r="CP159" i="1"/>
  <c r="CN148" i="1"/>
  <c r="CO148" i="1"/>
  <c r="CK148" i="1"/>
  <c r="CL148" i="1"/>
  <c r="CP144" i="1"/>
  <c r="CN132" i="1"/>
  <c r="CO132" i="1"/>
  <c r="CK132" i="1"/>
  <c r="CL132" i="1"/>
  <c r="CN116" i="1"/>
  <c r="CO116" i="1"/>
  <c r="CK116" i="1"/>
  <c r="CL116" i="1"/>
  <c r="CP112" i="1"/>
  <c r="CN100" i="1"/>
  <c r="CO100" i="1"/>
  <c r="CK100" i="1"/>
  <c r="CL100" i="1"/>
  <c r="CP96" i="1"/>
  <c r="CN84" i="1"/>
  <c r="CO84" i="1"/>
  <c r="CK84" i="1"/>
  <c r="CL84" i="1"/>
  <c r="CP80" i="1"/>
  <c r="CJ74" i="1"/>
  <c r="CN68" i="1"/>
  <c r="CO68" i="1"/>
  <c r="CK68" i="1"/>
  <c r="CL68" i="1"/>
  <c r="CP64" i="1"/>
  <c r="CJ58" i="1"/>
  <c r="CN52" i="1"/>
  <c r="CO52" i="1"/>
  <c r="CK52" i="1"/>
  <c r="CL52" i="1"/>
  <c r="CP48" i="1"/>
  <c r="CJ42" i="1"/>
  <c r="CN36" i="1"/>
  <c r="CO36" i="1"/>
  <c r="CK36" i="1"/>
  <c r="CL36" i="1"/>
  <c r="CP32" i="1"/>
  <c r="CO20" i="1"/>
  <c r="CN20" i="1"/>
  <c r="CK20" i="1"/>
  <c r="CL20" i="1"/>
  <c r="CP16" i="1"/>
  <c r="CP256" i="1"/>
  <c r="CP244" i="1"/>
  <c r="CP224" i="1"/>
  <c r="CO212" i="1"/>
  <c r="CK212" i="1"/>
  <c r="CL212" i="1"/>
  <c r="CN212" i="1"/>
  <c r="CP204" i="1"/>
  <c r="CO192" i="1"/>
  <c r="CK192" i="1"/>
  <c r="CL192" i="1"/>
  <c r="CN192" i="1"/>
  <c r="CP191" i="1"/>
  <c r="CK172" i="1"/>
  <c r="CL172" i="1"/>
  <c r="CN172" i="1"/>
  <c r="CO172" i="1"/>
  <c r="CP164" i="1"/>
  <c r="CK120" i="1"/>
  <c r="CN120" i="1"/>
  <c r="CL120" i="1"/>
  <c r="CO120" i="1"/>
  <c r="CP145" i="1"/>
  <c r="CP125" i="1"/>
  <c r="CJ115" i="1"/>
  <c r="CO101" i="1"/>
  <c r="CK101" i="1"/>
  <c r="CL101" i="1"/>
  <c r="CN101" i="1"/>
  <c r="CO81" i="1"/>
  <c r="CN81" i="1"/>
  <c r="CK81" i="1"/>
  <c r="CL81" i="1"/>
  <c r="CP73" i="1"/>
  <c r="CO49" i="1"/>
  <c r="CN49" i="1"/>
  <c r="CK49" i="1"/>
  <c r="CL49" i="1"/>
  <c r="CN242" i="1"/>
  <c r="CO242" i="1"/>
  <c r="CK242" i="1"/>
  <c r="CL242" i="1"/>
  <c r="CN194" i="1"/>
  <c r="CO194" i="1"/>
  <c r="CK194" i="1"/>
  <c r="CL194" i="1"/>
  <c r="CJ191" i="1"/>
  <c r="CP162" i="1"/>
  <c r="CJ120" i="1"/>
  <c r="CJ141" i="1"/>
  <c r="CO131" i="1"/>
  <c r="CK131" i="1"/>
  <c r="CN131" i="1"/>
  <c r="CL131" i="1"/>
  <c r="CP123" i="1"/>
  <c r="CO103" i="1"/>
  <c r="CN103" i="1"/>
  <c r="CK103" i="1"/>
  <c r="CL103" i="1"/>
  <c r="CO83" i="1"/>
  <c r="CK83" i="1"/>
  <c r="CN83" i="1"/>
  <c r="CL83" i="1"/>
  <c r="CO43" i="1"/>
  <c r="CK43" i="1"/>
  <c r="CL43" i="1"/>
  <c r="CN43" i="1"/>
  <c r="CO270" i="1"/>
  <c r="CN270" i="1"/>
  <c r="CK270" i="1"/>
  <c r="CL270" i="1"/>
  <c r="CP248" i="1"/>
  <c r="CJ238" i="1"/>
  <c r="CJ214" i="1"/>
  <c r="CO200" i="1"/>
  <c r="CK200" i="1"/>
  <c r="CL200" i="1"/>
  <c r="CN200" i="1"/>
  <c r="CO188" i="1"/>
  <c r="CK188" i="1"/>
  <c r="CL188" i="1"/>
  <c r="CN188" i="1"/>
  <c r="CP155" i="1"/>
  <c r="CP168" i="1"/>
  <c r="CO133" i="1"/>
  <c r="CK133" i="1"/>
  <c r="CL133" i="1"/>
  <c r="CN133" i="1"/>
  <c r="CO70" i="1"/>
  <c r="CN70" i="1"/>
  <c r="CK70" i="1"/>
  <c r="CL70" i="1"/>
  <c r="CJ103" i="1"/>
  <c r="CO57" i="1"/>
  <c r="CN57" i="1"/>
  <c r="CK57" i="1"/>
  <c r="CL57" i="1"/>
  <c r="CO45" i="1"/>
  <c r="CK45" i="1"/>
  <c r="CL45" i="1"/>
  <c r="CN45" i="1"/>
  <c r="CN25" i="1"/>
  <c r="CO25" i="1"/>
  <c r="CK25" i="1"/>
  <c r="CL25" i="1"/>
  <c r="CJ244" i="1"/>
  <c r="CN234" i="1"/>
  <c r="CO234" i="1"/>
  <c r="CK234" i="1"/>
  <c r="CL234" i="1"/>
  <c r="CP198" i="1"/>
  <c r="CJ188" i="1"/>
  <c r="CO174" i="1"/>
  <c r="CK174" i="1"/>
  <c r="CN174" i="1"/>
  <c r="CL174" i="1"/>
  <c r="CJ133" i="1"/>
  <c r="CO119" i="1"/>
  <c r="CN119" i="1"/>
  <c r="CK119" i="1"/>
  <c r="CL119" i="1"/>
  <c r="CO99" i="1"/>
  <c r="CK99" i="1"/>
  <c r="CN99" i="1"/>
  <c r="CL99" i="1"/>
  <c r="CO75" i="1"/>
  <c r="CK75" i="1"/>
  <c r="CL75" i="1"/>
  <c r="CN75" i="1"/>
  <c r="CJ57" i="1"/>
  <c r="CJ45" i="1"/>
  <c r="CN31" i="1"/>
  <c r="CO31" i="1"/>
  <c r="CK31" i="1"/>
  <c r="CL31" i="1"/>
  <c r="CP261" i="1"/>
  <c r="CP245" i="1"/>
  <c r="CJ243" i="1"/>
  <c r="CJ235" i="1"/>
  <c r="CP229" i="1"/>
  <c r="CJ227" i="1"/>
  <c r="CL217" i="1"/>
  <c r="CN217" i="1"/>
  <c r="CK217" i="1"/>
  <c r="CO217" i="1"/>
  <c r="CL114" i="1"/>
  <c r="CN114" i="1"/>
  <c r="CO114" i="1"/>
  <c r="CK114" i="1"/>
  <c r="CJ207" i="1"/>
  <c r="CP201" i="1"/>
  <c r="CP185" i="1"/>
  <c r="CN177" i="1"/>
  <c r="CL177" i="1"/>
  <c r="CO177" i="1"/>
  <c r="CK177" i="1"/>
  <c r="CP169" i="1"/>
  <c r="CP161" i="1"/>
  <c r="CN157" i="1"/>
  <c r="CL157" i="1"/>
  <c r="CO157" i="1"/>
  <c r="CK157" i="1"/>
  <c r="CN150" i="1"/>
  <c r="CO150" i="1"/>
  <c r="CL150" i="1"/>
  <c r="CK150" i="1"/>
  <c r="CP142" i="1"/>
  <c r="CP134" i="1"/>
  <c r="CJ132" i="1"/>
  <c r="CJ153" i="1"/>
  <c r="CJ116" i="1"/>
  <c r="CP110" i="1"/>
  <c r="CJ108" i="1"/>
  <c r="CJ100" i="1"/>
  <c r="CN163" i="1"/>
  <c r="CL163" i="1"/>
  <c r="CO163" i="1"/>
  <c r="CK163" i="1"/>
  <c r="CN82" i="1"/>
  <c r="CL82" i="1"/>
  <c r="CO82" i="1"/>
  <c r="CK82" i="1"/>
  <c r="CP66" i="1"/>
  <c r="CP58" i="1"/>
  <c r="CP42" i="1"/>
  <c r="CO30" i="1"/>
  <c r="CN30" i="1"/>
  <c r="CL30" i="1"/>
  <c r="CK30" i="1"/>
  <c r="CN22" i="1"/>
  <c r="CO22" i="1"/>
  <c r="CL22" i="1"/>
  <c r="CK22" i="1"/>
  <c r="CP186" i="1"/>
  <c r="CJ12" i="1"/>
  <c r="CP214" i="1"/>
  <c r="CO95" i="1"/>
  <c r="CN95" i="1"/>
  <c r="CK95" i="1"/>
  <c r="CL95" i="1"/>
  <c r="CO71" i="1"/>
  <c r="CN71" i="1"/>
  <c r="CK71" i="1"/>
  <c r="CL71" i="1"/>
  <c r="CO63" i="1"/>
  <c r="CN63" i="1"/>
  <c r="CK63" i="1"/>
  <c r="CL63" i="1"/>
  <c r="CN266" i="1"/>
  <c r="CO266" i="1"/>
  <c r="CK266" i="1"/>
  <c r="CL266" i="1"/>
  <c r="CN251" i="1"/>
  <c r="CO251" i="1"/>
  <c r="CK251" i="1"/>
  <c r="CL251" i="1"/>
  <c r="CN171" i="1"/>
  <c r="CO171" i="1"/>
  <c r="CK171" i="1"/>
  <c r="CL171" i="1"/>
  <c r="CN140" i="1"/>
  <c r="CO140" i="1"/>
  <c r="CK140" i="1"/>
  <c r="CL140" i="1"/>
  <c r="CO236" i="1"/>
  <c r="CL236" i="1"/>
  <c r="CN236" i="1"/>
  <c r="CK236" i="1"/>
  <c r="CO196" i="1"/>
  <c r="CK196" i="1"/>
  <c r="CL196" i="1"/>
  <c r="CN196" i="1"/>
  <c r="CO137" i="1"/>
  <c r="CN137" i="1"/>
  <c r="CK137" i="1"/>
  <c r="CL137" i="1"/>
  <c r="CO127" i="1"/>
  <c r="CN127" i="1"/>
  <c r="CK127" i="1"/>
  <c r="CL127" i="1"/>
  <c r="CO21" i="1"/>
  <c r="CK21" i="1"/>
  <c r="CL21" i="1"/>
  <c r="CN21" i="1"/>
  <c r="CO267" i="1"/>
  <c r="CN267" i="1"/>
  <c r="CK267" i="1"/>
  <c r="CL267" i="1"/>
  <c r="CO105" i="1"/>
  <c r="CN105" i="1"/>
  <c r="CK105" i="1"/>
  <c r="CL105" i="1"/>
  <c r="CO93" i="1"/>
  <c r="CK93" i="1"/>
  <c r="CL93" i="1"/>
  <c r="CN93" i="1"/>
  <c r="CN9" i="1"/>
  <c r="CO9" i="1"/>
  <c r="CK9" i="1"/>
  <c r="CL9" i="1"/>
  <c r="CJ117" i="1"/>
  <c r="CO87" i="1"/>
  <c r="CN87" i="1"/>
  <c r="CK87" i="1"/>
  <c r="CL87" i="1"/>
  <c r="CN15" i="1"/>
  <c r="CO15" i="1"/>
  <c r="CK15" i="1"/>
  <c r="CL15" i="1"/>
  <c r="CJ203" i="1"/>
  <c r="CJ187" i="1"/>
  <c r="CN86" i="1"/>
  <c r="CO86" i="1"/>
  <c r="CL86" i="1"/>
  <c r="CK86" i="1"/>
  <c r="CJ76" i="1"/>
  <c r="CN26" i="1"/>
  <c r="CL26" i="1"/>
  <c r="CO26" i="1"/>
  <c r="CK26" i="1"/>
  <c r="CO154" i="1"/>
  <c r="CN154" i="1"/>
  <c r="CK154" i="1"/>
  <c r="CL154" i="1"/>
  <c r="CO91" i="1"/>
  <c r="CK91" i="1"/>
  <c r="CN91" i="1"/>
  <c r="CL91" i="1"/>
  <c r="CO79" i="1"/>
  <c r="CN79" i="1"/>
  <c r="CK79" i="1"/>
  <c r="CL79" i="1"/>
  <c r="CO121" i="1"/>
  <c r="CK121" i="1"/>
  <c r="CL121" i="1"/>
  <c r="CN121" i="1"/>
  <c r="CN269" i="1"/>
  <c r="CO269" i="1"/>
  <c r="CL269" i="1"/>
  <c r="CK269" i="1"/>
  <c r="CN202" i="1"/>
  <c r="CO202" i="1"/>
  <c r="CK202" i="1"/>
  <c r="CL202" i="1"/>
  <c r="CP251" i="1"/>
  <c r="CN239" i="1"/>
  <c r="CO239" i="1"/>
  <c r="CK239" i="1"/>
  <c r="CL239" i="1"/>
  <c r="CP235" i="1"/>
  <c r="CN35" i="1"/>
  <c r="CO35" i="1"/>
  <c r="CK35" i="1"/>
  <c r="CL35" i="1"/>
  <c r="CP187" i="1"/>
  <c r="CN175" i="1"/>
  <c r="CK175" i="1"/>
  <c r="CO175" i="1"/>
  <c r="CL175" i="1"/>
  <c r="CP171" i="1"/>
  <c r="CP140" i="1"/>
  <c r="CN128" i="1"/>
  <c r="CK128" i="1"/>
  <c r="CL128" i="1"/>
  <c r="CO128" i="1"/>
  <c r="CP153" i="1"/>
  <c r="CJ86" i="1"/>
  <c r="CN80" i="1"/>
  <c r="CK80" i="1"/>
  <c r="CL80" i="1"/>
  <c r="CO80" i="1"/>
  <c r="CP76" i="1"/>
  <c r="CN64" i="1"/>
  <c r="CK64" i="1"/>
  <c r="CL64" i="1"/>
  <c r="CO64" i="1"/>
  <c r="CP60" i="1"/>
  <c r="CN48" i="1"/>
  <c r="CK48" i="1"/>
  <c r="CL48" i="1"/>
  <c r="CO48" i="1"/>
  <c r="CO256" i="1"/>
  <c r="CL256" i="1"/>
  <c r="CN256" i="1"/>
  <c r="CK256" i="1"/>
  <c r="CP236" i="1"/>
  <c r="CP137" i="1"/>
  <c r="CJ87" i="1"/>
  <c r="CO41" i="1"/>
  <c r="CN41" i="1"/>
  <c r="CK41" i="1"/>
  <c r="CL41" i="1"/>
  <c r="CN29" i="1"/>
  <c r="CO29" i="1"/>
  <c r="CK29" i="1"/>
  <c r="CL29" i="1"/>
  <c r="CP21" i="1"/>
  <c r="CN262" i="1"/>
  <c r="CO262" i="1"/>
  <c r="CK262" i="1"/>
  <c r="CL262" i="1"/>
  <c r="CN230" i="1"/>
  <c r="CO230" i="1"/>
  <c r="CK230" i="1"/>
  <c r="CL230" i="1"/>
  <c r="CJ216" i="1"/>
  <c r="CJ176" i="1"/>
  <c r="CP115" i="1"/>
  <c r="CJ97" i="1"/>
  <c r="CO55" i="1"/>
  <c r="CN55" i="1"/>
  <c r="CK55" i="1"/>
  <c r="CL55" i="1"/>
  <c r="CO209" i="1"/>
  <c r="CK209" i="1"/>
  <c r="CL209" i="1"/>
  <c r="CN209" i="1"/>
  <c r="CP267" i="1"/>
  <c r="CP240" i="1"/>
  <c r="CJ230" i="1"/>
  <c r="CK156" i="1"/>
  <c r="CL156" i="1"/>
  <c r="CN156" i="1"/>
  <c r="CO156" i="1"/>
  <c r="CP149" i="1"/>
  <c r="CO113" i="1"/>
  <c r="CN113" i="1"/>
  <c r="CK113" i="1"/>
  <c r="CL113" i="1"/>
  <c r="CP105" i="1"/>
  <c r="CP93" i="1"/>
  <c r="CO69" i="1"/>
  <c r="CK69" i="1"/>
  <c r="CL69" i="1"/>
  <c r="CN69" i="1"/>
  <c r="CP61" i="1"/>
  <c r="CO37" i="1"/>
  <c r="CK37" i="1"/>
  <c r="CL37" i="1"/>
  <c r="CN37" i="1"/>
  <c r="CN17" i="1"/>
  <c r="CK17" i="1"/>
  <c r="CO17" i="1"/>
  <c r="CL17" i="1"/>
  <c r="CN258" i="1"/>
  <c r="CO258" i="1"/>
  <c r="CK258" i="1"/>
  <c r="CL258" i="1"/>
  <c r="CN210" i="1"/>
  <c r="CO210" i="1"/>
  <c r="CK210" i="1"/>
  <c r="CL210" i="1"/>
  <c r="CN190" i="1"/>
  <c r="CO190" i="1"/>
  <c r="CK190" i="1"/>
  <c r="CL190" i="1"/>
  <c r="CJ155" i="1"/>
  <c r="CO166" i="1"/>
  <c r="CN166" i="1"/>
  <c r="CK166" i="1"/>
  <c r="CL166" i="1"/>
  <c r="CJ137" i="1"/>
  <c r="CO111" i="1"/>
  <c r="CN111" i="1"/>
  <c r="CK111" i="1"/>
  <c r="CL111" i="1"/>
  <c r="CJ105" i="1"/>
  <c r="CP87" i="1"/>
  <c r="CJ69" i="1"/>
  <c r="CN23" i="1"/>
  <c r="CO23" i="1"/>
  <c r="CK23" i="1"/>
  <c r="CL23" i="1"/>
  <c r="CN268" i="1"/>
  <c r="CK268" i="1"/>
  <c r="CO268" i="1"/>
  <c r="CL268" i="1"/>
  <c r="CN253" i="1"/>
  <c r="CK253" i="1"/>
  <c r="CO253" i="1"/>
  <c r="CL253" i="1"/>
  <c r="CN237" i="1"/>
  <c r="CK237" i="1"/>
  <c r="CO237" i="1"/>
  <c r="CL237" i="1"/>
  <c r="CP221" i="1"/>
  <c r="CP213" i="1"/>
  <c r="CL193" i="1"/>
  <c r="CN193" i="1"/>
  <c r="CO193" i="1"/>
  <c r="CK193" i="1"/>
  <c r="CP146" i="1"/>
  <c r="CN126" i="1"/>
  <c r="CO126" i="1"/>
  <c r="CL126" i="1"/>
  <c r="CK126" i="1"/>
  <c r="CN118" i="1"/>
  <c r="CO118" i="1"/>
  <c r="CL118" i="1"/>
  <c r="CK118" i="1"/>
  <c r="CN102" i="1"/>
  <c r="CO102" i="1"/>
  <c r="CL102" i="1"/>
  <c r="CK102" i="1"/>
  <c r="CP94" i="1"/>
  <c r="CJ180" i="1"/>
  <c r="CN74" i="1"/>
  <c r="CL74" i="1"/>
  <c r="CO74" i="1"/>
  <c r="CK74" i="1"/>
  <c r="CN50" i="1"/>
  <c r="CL50" i="1"/>
  <c r="CO50" i="1"/>
  <c r="CK50" i="1"/>
  <c r="CN34" i="1"/>
  <c r="CL34" i="1"/>
  <c r="CO34" i="1"/>
  <c r="CK34" i="1"/>
  <c r="CJ32" i="1"/>
  <c r="CP26" i="1"/>
  <c r="CP18" i="1"/>
  <c r="CN222" i="1"/>
  <c r="CO222" i="1"/>
  <c r="CK222" i="1"/>
  <c r="CL222" i="1"/>
  <c r="CO151" i="1"/>
  <c r="CN151" i="1"/>
  <c r="CK151" i="1"/>
  <c r="CL151" i="1"/>
  <c r="CO139" i="1"/>
  <c r="CK139" i="1"/>
  <c r="CL139" i="1"/>
  <c r="CN139" i="1"/>
  <c r="CP121" i="1"/>
  <c r="CN11" i="1"/>
  <c r="CO11" i="1"/>
  <c r="CK11" i="1"/>
  <c r="CL11" i="1"/>
  <c r="CN259" i="1"/>
  <c r="CO259" i="1"/>
  <c r="CK259" i="1"/>
  <c r="CL259" i="1"/>
  <c r="CP202" i="1"/>
  <c r="CJ268" i="1"/>
  <c r="CN263" i="1"/>
  <c r="CO263" i="1"/>
  <c r="CK263" i="1"/>
  <c r="CL263" i="1"/>
  <c r="CP259" i="1"/>
  <c r="CJ253" i="1"/>
  <c r="CN247" i="1"/>
  <c r="CO247" i="1"/>
  <c r="CK247" i="1"/>
  <c r="CL247" i="1"/>
  <c r="CP243" i="1"/>
  <c r="CJ237" i="1"/>
  <c r="CN231" i="1"/>
  <c r="CO231" i="1"/>
  <c r="CK231" i="1"/>
  <c r="CL231" i="1"/>
  <c r="CP227" i="1"/>
  <c r="CJ221" i="1"/>
  <c r="CN215" i="1"/>
  <c r="CO215" i="1"/>
  <c r="CK215" i="1"/>
  <c r="CL215" i="1"/>
  <c r="CP211" i="1"/>
  <c r="CN199" i="1"/>
  <c r="CO199" i="1"/>
  <c r="CK199" i="1"/>
  <c r="CL199" i="1"/>
  <c r="CP195" i="1"/>
  <c r="CO183" i="1"/>
  <c r="CK183" i="1"/>
  <c r="CL183" i="1"/>
  <c r="CN183" i="1"/>
  <c r="CP179" i="1"/>
  <c r="CO167" i="1"/>
  <c r="CK167" i="1"/>
  <c r="CL167" i="1"/>
  <c r="CN167" i="1"/>
  <c r="CP65" i="1"/>
  <c r="CO152" i="1"/>
  <c r="CK152" i="1"/>
  <c r="CL152" i="1"/>
  <c r="CN152" i="1"/>
  <c r="CP148" i="1"/>
  <c r="CJ142" i="1"/>
  <c r="CN136" i="1"/>
  <c r="CK136" i="1"/>
  <c r="CL136" i="1"/>
  <c r="CO136" i="1"/>
  <c r="CP132" i="1"/>
  <c r="CJ126" i="1"/>
  <c r="CN67" i="1"/>
  <c r="CK67" i="1"/>
  <c r="CL67" i="1"/>
  <c r="CO67" i="1"/>
  <c r="CP116" i="1"/>
  <c r="CJ110" i="1"/>
  <c r="CN104" i="1"/>
  <c r="CK104" i="1"/>
  <c r="CL104" i="1"/>
  <c r="CO104" i="1"/>
  <c r="CP100" i="1"/>
  <c r="CJ94" i="1"/>
  <c r="CN88" i="1"/>
  <c r="CK88" i="1"/>
  <c r="CL88" i="1"/>
  <c r="CO88" i="1"/>
  <c r="CP84" i="1"/>
  <c r="CN72" i="1"/>
  <c r="CK72" i="1"/>
  <c r="CL72" i="1"/>
  <c r="CO72" i="1"/>
  <c r="CP68" i="1"/>
  <c r="CN56" i="1"/>
  <c r="CK56" i="1"/>
  <c r="CL56" i="1"/>
  <c r="CO56" i="1"/>
  <c r="CP52" i="1"/>
  <c r="CN40" i="1"/>
  <c r="CK40" i="1"/>
  <c r="CL40" i="1"/>
  <c r="CO40" i="1"/>
  <c r="CP36" i="1"/>
  <c r="CO24" i="1"/>
  <c r="CN24" i="1"/>
  <c r="CK24" i="1"/>
  <c r="CL24" i="1"/>
  <c r="CP20" i="1"/>
  <c r="CJ186" i="1"/>
  <c r="CO8" i="1"/>
  <c r="CN8" i="1"/>
  <c r="CK8" i="1"/>
  <c r="CL8" i="1"/>
  <c r="CJ265" i="1"/>
  <c r="CJ254" i="1"/>
  <c r="CO228" i="1"/>
  <c r="CK228" i="1"/>
  <c r="CL228" i="1"/>
  <c r="CN228" i="1"/>
  <c r="CJ222" i="1"/>
  <c r="CP212" i="1"/>
  <c r="CP192" i="1"/>
  <c r="CP172" i="1"/>
  <c r="CO160" i="1"/>
  <c r="CK160" i="1"/>
  <c r="CL160" i="1"/>
  <c r="CN160" i="1"/>
  <c r="CP120" i="1"/>
  <c r="CJ143" i="1"/>
  <c r="CO129" i="1"/>
  <c r="CN129" i="1"/>
  <c r="CK129" i="1"/>
  <c r="CL129" i="1"/>
  <c r="CJ123" i="1"/>
  <c r="CP109" i="1"/>
  <c r="CP101" i="1"/>
  <c r="CO124" i="1"/>
  <c r="CN124" i="1"/>
  <c r="CK124" i="1"/>
  <c r="CL124" i="1"/>
  <c r="CP81" i="1"/>
  <c r="CP49" i="1"/>
  <c r="CJ27" i="1"/>
  <c r="CN13" i="1"/>
  <c r="CO13" i="1"/>
  <c r="CK13" i="1"/>
  <c r="CL13" i="1"/>
  <c r="CP265" i="1"/>
  <c r="CJ260" i="1"/>
  <c r="CN246" i="1"/>
  <c r="CO246" i="1"/>
  <c r="CK246" i="1"/>
  <c r="CL246" i="1"/>
  <c r="CJ240" i="1"/>
  <c r="CJ228" i="1"/>
  <c r="CP218" i="1"/>
  <c r="CN255" i="1"/>
  <c r="CO255" i="1"/>
  <c r="CK255" i="1"/>
  <c r="CL255" i="1"/>
  <c r="CJ192" i="1"/>
  <c r="CO178" i="1"/>
  <c r="CN178" i="1"/>
  <c r="CK178" i="1"/>
  <c r="CL178" i="1"/>
  <c r="CO170" i="1"/>
  <c r="CN170" i="1"/>
  <c r="CK170" i="1"/>
  <c r="CL170" i="1"/>
  <c r="CO158" i="1"/>
  <c r="CK158" i="1"/>
  <c r="CN158" i="1"/>
  <c r="CL158" i="1"/>
  <c r="CJ149" i="1"/>
  <c r="CP131" i="1"/>
  <c r="CP103" i="1"/>
  <c r="CP83" i="1"/>
  <c r="CO59" i="1"/>
  <c r="CK59" i="1"/>
  <c r="CN59" i="1"/>
  <c r="CL59" i="1"/>
  <c r="CJ53" i="1"/>
  <c r="CP43" i="1"/>
  <c r="CN90" i="1"/>
  <c r="CO90" i="1"/>
  <c r="CK90" i="1"/>
  <c r="CL90" i="1"/>
  <c r="CP270" i="1"/>
  <c r="CO252" i="1"/>
  <c r="CL252" i="1"/>
  <c r="CN252" i="1"/>
  <c r="CK252" i="1"/>
  <c r="CJ246" i="1"/>
  <c r="CO232" i="1"/>
  <c r="CK232" i="1"/>
  <c r="CL232" i="1"/>
  <c r="CN232" i="1"/>
  <c r="CO220" i="1"/>
  <c r="CK220" i="1"/>
  <c r="CL220" i="1"/>
  <c r="CN220" i="1"/>
  <c r="CO208" i="1"/>
  <c r="CK208" i="1"/>
  <c r="CL208" i="1"/>
  <c r="CN208" i="1"/>
  <c r="CP200" i="1"/>
  <c r="CP188" i="1"/>
  <c r="CJ178" i="1"/>
  <c r="CJ166" i="1"/>
  <c r="CJ154" i="1"/>
  <c r="CP141" i="1"/>
  <c r="CP133" i="1"/>
  <c r="CP70" i="1"/>
  <c r="CJ111" i="1"/>
  <c r="CO85" i="1"/>
  <c r="CK85" i="1"/>
  <c r="CL85" i="1"/>
  <c r="CN85" i="1"/>
  <c r="CO77" i="1"/>
  <c r="CK77" i="1"/>
  <c r="CL77" i="1"/>
  <c r="CN77" i="1"/>
  <c r="CJ121" i="1"/>
  <c r="CP57" i="1"/>
  <c r="CP45" i="1"/>
  <c r="CO33" i="1"/>
  <c r="CN33" i="1"/>
  <c r="CK33" i="1"/>
  <c r="CL33" i="1"/>
  <c r="CP25" i="1"/>
  <c r="CJ15" i="1"/>
  <c r="CJ270" i="1"/>
  <c r="CP250" i="1"/>
  <c r="CP238" i="1"/>
  <c r="CJ232" i="1"/>
  <c r="CJ224" i="1"/>
  <c r="CN206" i="1"/>
  <c r="CO206" i="1"/>
  <c r="CK206" i="1"/>
  <c r="CL206" i="1"/>
  <c r="CJ196" i="1"/>
  <c r="CO182" i="1"/>
  <c r="CN182" i="1"/>
  <c r="CK182" i="1"/>
  <c r="CL182" i="1"/>
  <c r="CP174" i="1"/>
  <c r="CJ164" i="1"/>
  <c r="CO147" i="1"/>
  <c r="CK147" i="1"/>
  <c r="CN147" i="1"/>
  <c r="CL147" i="1"/>
  <c r="CO14" i="1"/>
  <c r="CN14" i="1"/>
  <c r="CK14" i="1"/>
  <c r="CL14" i="1"/>
  <c r="CP119" i="1"/>
  <c r="CO107" i="1"/>
  <c r="CK107" i="1"/>
  <c r="CL107" i="1"/>
  <c r="CN107" i="1"/>
  <c r="CP99" i="1"/>
  <c r="CJ93" i="1"/>
  <c r="CP75" i="1"/>
  <c r="CO51" i="1"/>
  <c r="CK51" i="1"/>
  <c r="CN51" i="1"/>
  <c r="CL51" i="1"/>
  <c r="CO39" i="1"/>
  <c r="CN39" i="1"/>
  <c r="CK39" i="1"/>
  <c r="CL39" i="1"/>
  <c r="CP31" i="1"/>
  <c r="CJ21" i="1"/>
  <c r="CN7" i="1"/>
  <c r="CO7" i="1"/>
  <c r="CK7" i="1"/>
  <c r="CL7" i="1"/>
  <c r="CN264" i="1"/>
  <c r="CL264" i="1"/>
  <c r="CO264" i="1"/>
  <c r="CK264" i="1"/>
  <c r="CN257" i="1"/>
  <c r="CO257" i="1"/>
  <c r="CK257" i="1"/>
  <c r="CL257" i="1"/>
  <c r="CN249" i="1"/>
  <c r="CL249" i="1"/>
  <c r="CO249" i="1"/>
  <c r="CK249" i="1"/>
  <c r="CN241" i="1"/>
  <c r="CO241" i="1"/>
  <c r="CL241" i="1"/>
  <c r="CK241" i="1"/>
  <c r="CL233" i="1"/>
  <c r="CN233" i="1"/>
  <c r="CO233" i="1"/>
  <c r="CK233" i="1"/>
  <c r="CL225" i="1"/>
  <c r="CN225" i="1"/>
  <c r="CO225" i="1"/>
  <c r="CK225" i="1"/>
  <c r="CJ223" i="1"/>
  <c r="CP217" i="1"/>
  <c r="CJ215" i="1"/>
  <c r="CP114" i="1"/>
  <c r="CL205" i="1"/>
  <c r="CN205" i="1"/>
  <c r="CO205" i="1"/>
  <c r="CK205" i="1"/>
  <c r="CL197" i="1"/>
  <c r="CN197" i="1"/>
  <c r="CK197" i="1"/>
  <c r="CO197" i="1"/>
  <c r="CL189" i="1"/>
  <c r="CN189" i="1"/>
  <c r="CO189" i="1"/>
  <c r="CK189" i="1"/>
  <c r="CN181" i="1"/>
  <c r="CL181" i="1"/>
  <c r="CO181" i="1"/>
  <c r="CK181" i="1"/>
  <c r="CN173" i="1"/>
  <c r="CL173" i="1"/>
  <c r="CO173" i="1"/>
  <c r="CK173" i="1"/>
  <c r="CN165" i="1"/>
  <c r="CL165" i="1"/>
  <c r="CK165" i="1"/>
  <c r="CO165" i="1"/>
  <c r="CP157" i="1"/>
  <c r="CJ92" i="1"/>
  <c r="CP150" i="1"/>
  <c r="CJ148" i="1"/>
  <c r="CN138" i="1"/>
  <c r="CL138" i="1"/>
  <c r="CO138" i="1"/>
  <c r="CK138" i="1"/>
  <c r="CN130" i="1"/>
  <c r="CL130" i="1"/>
  <c r="CO130" i="1"/>
  <c r="CK130" i="1"/>
  <c r="CN122" i="1"/>
  <c r="CL122" i="1"/>
  <c r="CO122" i="1"/>
  <c r="CK122" i="1"/>
  <c r="CN89" i="1"/>
  <c r="CL89" i="1"/>
  <c r="CO89" i="1"/>
  <c r="CK89" i="1"/>
  <c r="CN106" i="1"/>
  <c r="CL106" i="1"/>
  <c r="CO106" i="1"/>
  <c r="CK106" i="1"/>
  <c r="CN98" i="1"/>
  <c r="CL98" i="1"/>
  <c r="CO98" i="1"/>
  <c r="CK98" i="1"/>
  <c r="CJ96" i="1"/>
  <c r="CP163" i="1"/>
  <c r="CJ88" i="1"/>
  <c r="CP82" i="1"/>
  <c r="CN78" i="1"/>
  <c r="CO78" i="1"/>
  <c r="CL78" i="1"/>
  <c r="CK78" i="1"/>
  <c r="CN184" i="1"/>
  <c r="CO184" i="1"/>
  <c r="CL184" i="1"/>
  <c r="CK184" i="1"/>
  <c r="CN62" i="1"/>
  <c r="CO62" i="1"/>
  <c r="CL62" i="1"/>
  <c r="CK62" i="1"/>
  <c r="CN54" i="1"/>
  <c r="CO54" i="1"/>
  <c r="CL54" i="1"/>
  <c r="CK54" i="1"/>
  <c r="CN46" i="1"/>
  <c r="CO46" i="1"/>
  <c r="CL46" i="1"/>
  <c r="CK46" i="1"/>
  <c r="CN38" i="1"/>
  <c r="CO38" i="1"/>
  <c r="CL38" i="1"/>
  <c r="CK38" i="1"/>
  <c r="CP30" i="1"/>
  <c r="CJ28" i="1"/>
  <c r="CP22" i="1"/>
  <c r="CJ20" i="1"/>
  <c r="CN10" i="1"/>
  <c r="CL10" i="1"/>
  <c r="CO10" i="1"/>
  <c r="CK10" i="1"/>
  <c r="CN226" i="1"/>
  <c r="CO226" i="1"/>
  <c r="CK226" i="1"/>
  <c r="CL226" i="1"/>
  <c r="CJ212" i="1"/>
  <c r="CP154" i="1"/>
  <c r="CO135" i="1"/>
  <c r="CN135" i="1"/>
  <c r="CK135" i="1"/>
  <c r="CL135" i="1"/>
  <c r="CP95" i="1"/>
  <c r="CP71" i="1"/>
  <c r="CP63" i="1"/>
  <c r="CJ9" i="1"/>
  <c r="CQ250" i="1" l="1" a="1"/>
  <c r="CQ250" i="1" s="1"/>
  <c r="CR172" i="1" a="1"/>
  <c r="CR172" i="1" s="1"/>
  <c r="CR242" i="1" a="1"/>
  <c r="CR242" i="1" s="1"/>
  <c r="CR211" i="1" a="1"/>
  <c r="CR211" i="1" s="1"/>
  <c r="CR127" i="1" a="1"/>
  <c r="CR127" i="1" s="1"/>
  <c r="CR140" i="1" a="1"/>
  <c r="CR140" i="1" s="1"/>
  <c r="CQ171" i="1" a="1"/>
  <c r="CQ171" i="1" s="1"/>
  <c r="CQ251" i="1" a="1"/>
  <c r="CQ251" i="1" s="1"/>
  <c r="CQ266" i="1" a="1"/>
  <c r="CQ266" i="1" s="1"/>
  <c r="CR75" i="1" a="1"/>
  <c r="CR75" i="1" s="1"/>
  <c r="CQ194" i="1" a="1"/>
  <c r="CQ194" i="1" s="1"/>
  <c r="CR165" i="1" a="1"/>
  <c r="CR165" i="1" s="1"/>
  <c r="CR257" i="1" a="1"/>
  <c r="CR257" i="1" s="1"/>
  <c r="CQ182" i="1" a="1"/>
  <c r="CQ182" i="1" s="1"/>
  <c r="CQ23" i="1" a="1"/>
  <c r="CQ23" i="1" s="1"/>
  <c r="CR269" i="1" a="1"/>
  <c r="CR269" i="1" s="1"/>
  <c r="CQ26" i="1" a="1"/>
  <c r="CQ26" i="1" s="1"/>
  <c r="CQ158" i="1" a="1"/>
  <c r="CQ158" i="1" s="1"/>
  <c r="CQ124" i="1" a="1"/>
  <c r="CQ124" i="1" s="1"/>
  <c r="CR8" i="1" a="1"/>
  <c r="CR8" i="1" s="1"/>
  <c r="CQ40" i="1" a="1"/>
  <c r="CQ40" i="1" s="1"/>
  <c r="CR167" i="1" a="1"/>
  <c r="CR167" i="1" s="1"/>
  <c r="CQ231" i="1" a="1"/>
  <c r="CQ231" i="1" s="1"/>
  <c r="CQ263" i="1" a="1"/>
  <c r="CQ263" i="1" s="1"/>
  <c r="CR139" i="1" a="1"/>
  <c r="CR139" i="1" s="1"/>
  <c r="CR193" i="1" a="1"/>
  <c r="CR193" i="1" s="1"/>
  <c r="CR209" i="1" a="1"/>
  <c r="CR209" i="1" s="1"/>
  <c r="CQ29" i="1" a="1"/>
  <c r="CQ29" i="1" s="1"/>
  <c r="CR48" i="1" a="1"/>
  <c r="CR48" i="1" s="1"/>
  <c r="CQ128" i="1" a="1"/>
  <c r="CQ128" i="1" s="1"/>
  <c r="CR226" i="1" a="1"/>
  <c r="CR226" i="1" s="1"/>
  <c r="CR7" i="1" a="1"/>
  <c r="CR7" i="1" s="1"/>
  <c r="CQ63" i="1" a="1"/>
  <c r="CQ63" i="1" s="1"/>
  <c r="CQ70" i="1" a="1"/>
  <c r="CQ70" i="1" s="1"/>
  <c r="CQ49" i="1" a="1"/>
  <c r="CQ49" i="1" s="1"/>
  <c r="CR101" i="1" a="1"/>
  <c r="CR101" i="1" s="1"/>
  <c r="CR52" i="1" a="1"/>
  <c r="CR52" i="1" s="1"/>
  <c r="CR134" i="1" a="1"/>
  <c r="CR134" i="1" s="1"/>
  <c r="CR162" i="1" a="1"/>
  <c r="CR162" i="1" s="1"/>
  <c r="CQ47" i="1" a="1"/>
  <c r="CQ47" i="1" s="1"/>
  <c r="CR197" i="1" a="1"/>
  <c r="CR197" i="1" s="1"/>
  <c r="CR90" i="1" a="1"/>
  <c r="CR90" i="1" s="1"/>
  <c r="CQ95" i="1" a="1"/>
  <c r="CQ95" i="1" s="1"/>
  <c r="CQ198" i="1" a="1"/>
  <c r="CQ198" i="1" s="1"/>
  <c r="CR206" i="1" a="1"/>
  <c r="CR206" i="1" s="1"/>
  <c r="CR33" i="1" a="1"/>
  <c r="CR33" i="1" s="1"/>
  <c r="CQ77" i="1" a="1"/>
  <c r="CQ77" i="1" s="1"/>
  <c r="CQ85" i="1" a="1"/>
  <c r="CQ85" i="1" s="1"/>
  <c r="CR252" i="1" a="1"/>
  <c r="CR252" i="1" s="1"/>
  <c r="CQ90" i="1" a="1"/>
  <c r="CQ90" i="1" s="1"/>
  <c r="CR13" i="1" a="1"/>
  <c r="CR13" i="1" s="1"/>
  <c r="CR56" i="1" a="1"/>
  <c r="CR56" i="1" s="1"/>
  <c r="CQ104" i="1" a="1"/>
  <c r="CQ104" i="1" s="1"/>
  <c r="CQ136" i="1" a="1"/>
  <c r="CQ136" i="1" s="1"/>
  <c r="CQ183" i="1" a="1"/>
  <c r="CQ183" i="1" s="1"/>
  <c r="CQ199" i="1" a="1"/>
  <c r="CQ199" i="1" s="1"/>
  <c r="CR34" i="1" a="1"/>
  <c r="CR34" i="1" s="1"/>
  <c r="CQ50" i="1" a="1"/>
  <c r="CQ50" i="1" s="1"/>
  <c r="CQ156" i="1" a="1"/>
  <c r="CQ156" i="1" s="1"/>
  <c r="CQ64" i="1" a="1"/>
  <c r="CQ64" i="1" s="1"/>
  <c r="CQ175" i="1" a="1"/>
  <c r="CQ175" i="1" s="1"/>
  <c r="CQ239" i="1" a="1"/>
  <c r="CQ239" i="1" s="1"/>
  <c r="CR79" i="1" a="1"/>
  <c r="CR79" i="1" s="1"/>
  <c r="CQ127" i="1" a="1"/>
  <c r="CQ127" i="1" s="1"/>
  <c r="CR171" i="1" a="1"/>
  <c r="CR171" i="1" s="1"/>
  <c r="CR82" i="1" a="1"/>
  <c r="CR82" i="1" s="1"/>
  <c r="CR150" i="1" a="1"/>
  <c r="CR150" i="1" s="1"/>
  <c r="CR174" i="1" a="1"/>
  <c r="CR174" i="1" s="1"/>
  <c r="CR25" i="1" a="1"/>
  <c r="CR25" i="1" s="1"/>
  <c r="CR70" i="1" a="1"/>
  <c r="CR70" i="1" s="1"/>
  <c r="CR81" i="1" a="1"/>
  <c r="CR81" i="1" s="1"/>
  <c r="CQ172" i="1" a="1"/>
  <c r="CQ172" i="1" s="1"/>
  <c r="CR66" i="1" a="1"/>
  <c r="CR66" i="1" s="1"/>
  <c r="CQ73" i="1" a="1"/>
  <c r="CQ73" i="1" s="1"/>
  <c r="CR204" i="1" a="1"/>
  <c r="CR204" i="1" s="1"/>
  <c r="CQ144" i="1" a="1"/>
  <c r="CQ144" i="1" s="1"/>
  <c r="CR250" i="1" a="1"/>
  <c r="CR250" i="1" s="1"/>
  <c r="CR18" i="1" a="1"/>
  <c r="CR18" i="1" s="1"/>
  <c r="CR202" i="1" a="1"/>
  <c r="CR202" i="1" s="1"/>
  <c r="CQ84" i="1" a="1"/>
  <c r="CQ84" i="1" s="1"/>
  <c r="CQ135" i="1" a="1"/>
  <c r="CQ135" i="1" s="1"/>
  <c r="CR39" i="1" a="1"/>
  <c r="CR39" i="1" s="1"/>
  <c r="CQ107" i="1" a="1"/>
  <c r="CQ107" i="1" s="1"/>
  <c r="CR14" i="1" a="1"/>
  <c r="CR14" i="1" s="1"/>
  <c r="CQ208" i="1" a="1"/>
  <c r="CQ208" i="1" s="1"/>
  <c r="CR220" i="1" a="1"/>
  <c r="CR220" i="1" s="1"/>
  <c r="CQ255" i="1" a="1"/>
  <c r="CQ255" i="1" s="1"/>
  <c r="CQ160" i="1" a="1"/>
  <c r="CQ160" i="1" s="1"/>
  <c r="CR24" i="1" a="1"/>
  <c r="CR24" i="1" s="1"/>
  <c r="CQ72" i="1" a="1"/>
  <c r="CQ72" i="1" s="1"/>
  <c r="CQ247" i="1" a="1"/>
  <c r="CQ247" i="1" s="1"/>
  <c r="CR259" i="1" a="1"/>
  <c r="CR259" i="1" s="1"/>
  <c r="CQ11" i="1" a="1"/>
  <c r="CQ11" i="1" s="1"/>
  <c r="CR190" i="1" a="1"/>
  <c r="CR190" i="1" s="1"/>
  <c r="CQ210" i="1" a="1"/>
  <c r="CQ210" i="1" s="1"/>
  <c r="CQ258" i="1" a="1"/>
  <c r="CQ258" i="1" s="1"/>
  <c r="CR83" i="1" a="1"/>
  <c r="CR83" i="1" s="1"/>
  <c r="CQ113" i="1" a="1"/>
  <c r="CQ113" i="1" s="1"/>
  <c r="CR156" i="1" a="1"/>
  <c r="CR156" i="1" s="1"/>
  <c r="CQ256" i="1" a="1"/>
  <c r="CQ256" i="1" s="1"/>
  <c r="CR80" i="1" a="1"/>
  <c r="CR80" i="1" s="1"/>
  <c r="CR175" i="1" a="1"/>
  <c r="CR175" i="1" s="1"/>
  <c r="CQ35" i="1" a="1"/>
  <c r="CQ35" i="1" s="1"/>
  <c r="CR91" i="1" a="1"/>
  <c r="CR91" i="1" s="1"/>
  <c r="CQ22" i="1" a="1"/>
  <c r="CQ22" i="1" s="1"/>
  <c r="CR114" i="1" a="1"/>
  <c r="CR114" i="1" s="1"/>
  <c r="CR68" i="1" a="1"/>
  <c r="CR68" i="1" s="1"/>
  <c r="CQ161" i="1" a="1"/>
  <c r="CQ161" i="1" s="1"/>
  <c r="CQ16" i="1" a="1"/>
  <c r="CQ16" i="1" s="1"/>
  <c r="CR271" i="1" a="1"/>
  <c r="CR271" i="1" s="1"/>
  <c r="CR71" i="1" a="1"/>
  <c r="CR71" i="1" s="1"/>
  <c r="CR10" i="1" a="1"/>
  <c r="CR10" i="1" s="1"/>
  <c r="CQ38" i="1" a="1"/>
  <c r="CQ38" i="1" s="1"/>
  <c r="CQ46" i="1" a="1"/>
  <c r="CQ46" i="1" s="1"/>
  <c r="CR54" i="1" a="1"/>
  <c r="CR54" i="1" s="1"/>
  <c r="CR62" i="1" a="1"/>
  <c r="CR62" i="1" s="1"/>
  <c r="CR184" i="1" a="1"/>
  <c r="CR184" i="1" s="1"/>
  <c r="CR78" i="1" a="1"/>
  <c r="CR78" i="1" s="1"/>
  <c r="CR98" i="1" a="1"/>
  <c r="CR98" i="1" s="1"/>
  <c r="CR106" i="1" a="1"/>
  <c r="CR106" i="1" s="1"/>
  <c r="CR89" i="1" a="1"/>
  <c r="CR89" i="1" s="1"/>
  <c r="CQ122" i="1" a="1"/>
  <c r="CQ122" i="1" s="1"/>
  <c r="CR130" i="1" a="1"/>
  <c r="CR130" i="1" s="1"/>
  <c r="CQ138" i="1" a="1"/>
  <c r="CQ138" i="1" s="1"/>
  <c r="CQ165" i="1" a="1"/>
  <c r="CQ165" i="1" s="1"/>
  <c r="CR173" i="1" a="1"/>
  <c r="CR173" i="1" s="1"/>
  <c r="CQ181" i="1" a="1"/>
  <c r="CQ181" i="1" s="1"/>
  <c r="CR189" i="1" a="1"/>
  <c r="CR189" i="1" s="1"/>
  <c r="CQ197" i="1" a="1"/>
  <c r="CQ197" i="1" s="1"/>
  <c r="CQ205" i="1" a="1"/>
  <c r="CQ205" i="1" s="1"/>
  <c r="CR225" i="1" a="1"/>
  <c r="CR225" i="1" s="1"/>
  <c r="CQ233" i="1" a="1"/>
  <c r="CQ233" i="1" s="1"/>
  <c r="CQ241" i="1" a="1"/>
  <c r="CQ241" i="1" s="1"/>
  <c r="CQ249" i="1" a="1"/>
  <c r="CQ249" i="1" s="1"/>
  <c r="CQ264" i="1" a="1"/>
  <c r="CQ264" i="1" s="1"/>
  <c r="CQ39" i="1" a="1"/>
  <c r="CQ39" i="1" s="1"/>
  <c r="CR51" i="1" a="1"/>
  <c r="CR51" i="1" s="1"/>
  <c r="CQ99" i="1" a="1"/>
  <c r="CQ99" i="1" s="1"/>
  <c r="CR107" i="1" a="1"/>
  <c r="CR107" i="1" s="1"/>
  <c r="CQ147" i="1" a="1"/>
  <c r="CQ147" i="1" s="1"/>
  <c r="CR43" i="1" a="1"/>
  <c r="CR43" i="1" s="1"/>
  <c r="CR59" i="1" a="1"/>
  <c r="CR59" i="1" s="1"/>
  <c r="CR170" i="1" a="1"/>
  <c r="CR170" i="1" s="1"/>
  <c r="CR129" i="1" a="1"/>
  <c r="CR129" i="1" s="1"/>
  <c r="CQ67" i="1" a="1"/>
  <c r="CQ67" i="1" s="1"/>
  <c r="CQ152" i="1" a="1"/>
  <c r="CQ152" i="1" s="1"/>
  <c r="CR151" i="1" a="1"/>
  <c r="CR151" i="1" s="1"/>
  <c r="CR102" i="1" a="1"/>
  <c r="CR102" i="1" s="1"/>
  <c r="CR118" i="1" a="1"/>
  <c r="CR118" i="1" s="1"/>
  <c r="CQ146" i="1" a="1"/>
  <c r="CQ146" i="1" s="1"/>
  <c r="CR210" i="1" a="1"/>
  <c r="CR210" i="1" s="1"/>
  <c r="CR258" i="1" a="1"/>
  <c r="CR258" i="1" s="1"/>
  <c r="CR17" i="1" a="1"/>
  <c r="CR17" i="1" s="1"/>
  <c r="CQ55" i="1" a="1"/>
  <c r="CQ55" i="1" s="1"/>
  <c r="CQ262" i="1" a="1"/>
  <c r="CQ262" i="1" s="1"/>
  <c r="CR239" i="1" a="1"/>
  <c r="CR239" i="1" s="1"/>
  <c r="CQ261" i="1" a="1"/>
  <c r="CQ261" i="1" s="1"/>
  <c r="CR267" i="1" a="1"/>
  <c r="CR267" i="1" s="1"/>
  <c r="CR236" i="1" a="1"/>
  <c r="CR236" i="1" s="1"/>
  <c r="CQ150" i="1" a="1"/>
  <c r="CQ150" i="1" s="1"/>
  <c r="CQ177" i="1" a="1"/>
  <c r="CQ177" i="1" s="1"/>
  <c r="CQ114" i="1" a="1"/>
  <c r="CQ114" i="1" s="1"/>
  <c r="CQ217" i="1" a="1"/>
  <c r="CQ217" i="1" s="1"/>
  <c r="CR99" i="1" a="1"/>
  <c r="CR99" i="1" s="1"/>
  <c r="CQ119" i="1" a="1"/>
  <c r="CQ119" i="1" s="1"/>
  <c r="CQ234" i="1" a="1"/>
  <c r="CQ234" i="1" s="1"/>
  <c r="CQ25" i="1" a="1"/>
  <c r="CQ25" i="1" s="1"/>
  <c r="CQ200" i="1" a="1"/>
  <c r="CQ200" i="1" s="1"/>
  <c r="CQ43" i="1" a="1"/>
  <c r="CQ43" i="1" s="1"/>
  <c r="CQ83" i="1" a="1"/>
  <c r="CQ83" i="1" s="1"/>
  <c r="CR131" i="1" a="1"/>
  <c r="CR131" i="1" s="1"/>
  <c r="CR194" i="1" a="1"/>
  <c r="CR194" i="1" s="1"/>
  <c r="CQ242" i="1" a="1"/>
  <c r="CQ242" i="1" s="1"/>
  <c r="CQ81" i="1" a="1"/>
  <c r="CQ81" i="1" s="1"/>
  <c r="CR36" i="1" a="1"/>
  <c r="CR36" i="1" s="1"/>
  <c r="CQ68" i="1" a="1"/>
  <c r="CQ68" i="1" s="1"/>
  <c r="CR65" i="1" a="1"/>
  <c r="CR65" i="1" s="1"/>
  <c r="CQ195" i="1" a="1"/>
  <c r="CQ195" i="1" s="1"/>
  <c r="CQ211" i="1" a="1"/>
  <c r="CQ211" i="1" s="1"/>
  <c r="CR229" i="1" a="1"/>
  <c r="CR229" i="1" s="1"/>
  <c r="CR245" i="1" a="1"/>
  <c r="CR245" i="1" s="1"/>
  <c r="CR261" i="1" a="1"/>
  <c r="CR261" i="1" s="1"/>
  <c r="CQ168" i="1" a="1"/>
  <c r="CQ168" i="1" s="1"/>
  <c r="CQ162" i="1" a="1"/>
  <c r="CQ162" i="1" s="1"/>
  <c r="CR19" i="1" a="1"/>
  <c r="CR19" i="1" s="1"/>
  <c r="CQ271" i="1" a="1"/>
  <c r="CQ271" i="1" s="1"/>
  <c r="CQ186" i="1" a="1"/>
  <c r="CQ186" i="1" s="1"/>
  <c r="CR186" i="1" a="1"/>
  <c r="CR186" i="1" s="1"/>
  <c r="CR205" i="1" a="1"/>
  <c r="CR205" i="1" s="1"/>
  <c r="CQ237" i="1" a="1"/>
  <c r="CQ237" i="1" s="1"/>
  <c r="CR237" i="1" a="1"/>
  <c r="CR237" i="1" s="1"/>
  <c r="CQ14" i="1" a="1"/>
  <c r="CQ14" i="1" s="1"/>
  <c r="CQ54" i="1" a="1"/>
  <c r="CQ54" i="1" s="1"/>
  <c r="CQ203" i="1" a="1"/>
  <c r="CQ203" i="1" s="1"/>
  <c r="CR203" i="1" a="1"/>
  <c r="CR203" i="1" s="1"/>
  <c r="CQ106" i="1" a="1"/>
  <c r="CQ106" i="1" s="1"/>
  <c r="CR217" i="1" a="1"/>
  <c r="CR217" i="1" s="1"/>
  <c r="CR84" i="1" a="1"/>
  <c r="CR84" i="1" s="1"/>
  <c r="CR22" i="1" a="1"/>
  <c r="CR22" i="1" s="1"/>
  <c r="CR38" i="1" a="1"/>
  <c r="CR38" i="1" s="1"/>
  <c r="CR128" i="1" a="1"/>
  <c r="CR128" i="1" s="1"/>
  <c r="CQ202" i="1" a="1"/>
  <c r="CQ202" i="1" s="1"/>
  <c r="CR73" i="1" a="1"/>
  <c r="CR73" i="1" s="1"/>
  <c r="CQ170" i="1" a="1"/>
  <c r="CQ170" i="1" s="1"/>
  <c r="CR67" i="1" a="1"/>
  <c r="CR67" i="1" s="1"/>
  <c r="CR179" i="1" a="1"/>
  <c r="CR179" i="1" s="1"/>
  <c r="CQ204" i="1" a="1"/>
  <c r="CQ204" i="1" s="1"/>
  <c r="CR198" i="1" a="1"/>
  <c r="CR198" i="1" s="1"/>
  <c r="CR168" i="1" a="1"/>
  <c r="CR168" i="1" s="1"/>
  <c r="CQ79" i="1" a="1"/>
  <c r="CQ79" i="1" s="1"/>
  <c r="CQ34" i="1" a="1"/>
  <c r="CQ34" i="1" s="1"/>
  <c r="CQ82" i="1" a="1"/>
  <c r="CQ82" i="1" s="1"/>
  <c r="CQ89" i="1" a="1"/>
  <c r="CQ89" i="1" s="1"/>
  <c r="CR64" i="1" a="1"/>
  <c r="CR64" i="1" s="1"/>
  <c r="CR199" i="1" a="1"/>
  <c r="CR199" i="1" s="1"/>
  <c r="CQ91" i="1" a="1"/>
  <c r="CQ91" i="1" s="1"/>
  <c r="CR266" i="1" a="1"/>
  <c r="CR266" i="1" s="1"/>
  <c r="CQ48" i="1" a="1"/>
  <c r="CQ48" i="1" s="1"/>
  <c r="CR40" i="1" a="1"/>
  <c r="CR40" i="1" s="1"/>
  <c r="CR26" i="1" a="1"/>
  <c r="CR26" i="1" s="1"/>
  <c r="CR256" i="1" a="1"/>
  <c r="CR256" i="1" s="1"/>
  <c r="CR20" i="1" a="1"/>
  <c r="CR20" i="1" s="1"/>
  <c r="CQ20" i="1" a="1"/>
  <c r="CQ20" i="1" s="1"/>
  <c r="CR196" i="1" a="1"/>
  <c r="CR196" i="1" s="1"/>
  <c r="CQ196" i="1" a="1"/>
  <c r="CQ196" i="1" s="1"/>
  <c r="CQ178" i="1" a="1"/>
  <c r="CQ178" i="1" s="1"/>
  <c r="CR178" i="1" a="1"/>
  <c r="CR178" i="1" s="1"/>
  <c r="CR192" i="1" a="1"/>
  <c r="CR192" i="1" s="1"/>
  <c r="CQ192" i="1" a="1"/>
  <c r="CQ192" i="1" s="1"/>
  <c r="CQ78" i="1" a="1"/>
  <c r="CQ78" i="1" s="1"/>
  <c r="CQ142" i="1" a="1"/>
  <c r="CQ142" i="1" s="1"/>
  <c r="CR142" i="1" a="1"/>
  <c r="CR142" i="1" s="1"/>
  <c r="CQ268" i="1" a="1"/>
  <c r="CQ268" i="1" s="1"/>
  <c r="CR268" i="1" a="1"/>
  <c r="CR268" i="1" s="1"/>
  <c r="CQ51" i="1" a="1"/>
  <c r="CQ51" i="1" s="1"/>
  <c r="CR11" i="1" a="1"/>
  <c r="CR11" i="1" s="1"/>
  <c r="CR181" i="1" a="1"/>
  <c r="CR181" i="1" s="1"/>
  <c r="CQ53" i="1" a="1"/>
  <c r="CQ53" i="1" s="1"/>
  <c r="CR53" i="1" a="1"/>
  <c r="CR53" i="1" s="1"/>
  <c r="CQ71" i="1" a="1"/>
  <c r="CQ71" i="1" s="1"/>
  <c r="CR123" i="1" a="1"/>
  <c r="CR123" i="1" s="1"/>
  <c r="CQ123" i="1" a="1"/>
  <c r="CQ123" i="1" s="1"/>
  <c r="CR182" i="1" a="1"/>
  <c r="CR182" i="1" s="1"/>
  <c r="CR255" i="1" a="1"/>
  <c r="CR255" i="1" s="1"/>
  <c r="CR46" i="1" a="1"/>
  <c r="CR46" i="1" s="1"/>
  <c r="CQ62" i="1" a="1"/>
  <c r="CQ62" i="1" s="1"/>
  <c r="CQ173" i="1" a="1"/>
  <c r="CQ173" i="1" s="1"/>
  <c r="CQ189" i="1" a="1"/>
  <c r="CQ189" i="1" s="1"/>
  <c r="CR249" i="1" a="1"/>
  <c r="CR249" i="1" s="1"/>
  <c r="CQ32" i="1" a="1"/>
  <c r="CQ32" i="1" s="1"/>
  <c r="CR32" i="1" a="1"/>
  <c r="CR32" i="1" s="1"/>
  <c r="CR152" i="1" a="1"/>
  <c r="CR152" i="1" s="1"/>
  <c r="CR69" i="1" a="1"/>
  <c r="CR69" i="1" s="1"/>
  <c r="CQ69" i="1" a="1"/>
  <c r="CQ69" i="1" s="1"/>
  <c r="CQ155" i="1" a="1"/>
  <c r="CQ155" i="1" s="1"/>
  <c r="CR155" i="1" a="1"/>
  <c r="CR155" i="1" s="1"/>
  <c r="CQ139" i="1" a="1"/>
  <c r="CQ139" i="1" s="1"/>
  <c r="CQ17" i="1" a="1"/>
  <c r="CQ17" i="1" s="1"/>
  <c r="CR97" i="1" a="1"/>
  <c r="CR97" i="1" s="1"/>
  <c r="CQ97" i="1" a="1"/>
  <c r="CQ97" i="1" s="1"/>
  <c r="CQ176" i="1" a="1"/>
  <c r="CQ176" i="1" s="1"/>
  <c r="CR176" i="1" a="1"/>
  <c r="CR176" i="1" s="1"/>
  <c r="CQ118" i="1" a="1"/>
  <c r="CQ118" i="1" s="1"/>
  <c r="CQ245" i="1" a="1"/>
  <c r="CQ245" i="1" s="1"/>
  <c r="CR136" i="1" a="1"/>
  <c r="CR136" i="1" s="1"/>
  <c r="CR263" i="1" a="1"/>
  <c r="CR263" i="1" s="1"/>
  <c r="CQ75" i="1" a="1"/>
  <c r="CQ75" i="1" s="1"/>
  <c r="CQ41" i="1" a="1"/>
  <c r="CQ41" i="1" s="1"/>
  <c r="CR47" i="1" a="1"/>
  <c r="CR47" i="1" s="1"/>
  <c r="CR146" i="1" a="1"/>
  <c r="CR146" i="1" s="1"/>
  <c r="CR241" i="1" a="1"/>
  <c r="CR241" i="1" s="1"/>
  <c r="CQ12" i="1" a="1"/>
  <c r="CQ12" i="1" s="1"/>
  <c r="CR12" i="1" a="1"/>
  <c r="CR12" i="1" s="1"/>
  <c r="CQ116" i="1" a="1"/>
  <c r="CQ116" i="1" s="1"/>
  <c r="CR116" i="1" a="1"/>
  <c r="CR116" i="1" s="1"/>
  <c r="CQ235" i="1" a="1"/>
  <c r="CQ235" i="1" s="1"/>
  <c r="CR235" i="1" a="1"/>
  <c r="CR235" i="1" s="1"/>
  <c r="CR45" i="1" a="1"/>
  <c r="CR45" i="1" s="1"/>
  <c r="CQ45" i="1" a="1"/>
  <c r="CQ45" i="1" s="1"/>
  <c r="CQ103" i="1" a="1"/>
  <c r="CQ103" i="1" s="1"/>
  <c r="CR103" i="1" a="1"/>
  <c r="CR103" i="1" s="1"/>
  <c r="CR238" i="1" a="1"/>
  <c r="CR238" i="1" s="1"/>
  <c r="CQ238" i="1" a="1"/>
  <c r="CQ238" i="1" s="1"/>
  <c r="CR191" i="1" a="1"/>
  <c r="CR191" i="1" s="1"/>
  <c r="CQ191" i="1" a="1"/>
  <c r="CQ191" i="1" s="1"/>
  <c r="CR95" i="1" a="1"/>
  <c r="CR95" i="1" s="1"/>
  <c r="CR135" i="1" a="1"/>
  <c r="CR135" i="1" s="1"/>
  <c r="CR234" i="1" a="1"/>
  <c r="CR234" i="1" s="1"/>
  <c r="CQ163" i="1" a="1"/>
  <c r="CQ163" i="1" s="1"/>
  <c r="CR138" i="1" a="1"/>
  <c r="CR138" i="1" s="1"/>
  <c r="CQ169" i="1" a="1"/>
  <c r="CQ169" i="1" s="1"/>
  <c r="CR169" i="1" a="1"/>
  <c r="CR169" i="1" s="1"/>
  <c r="CR201" i="1" a="1"/>
  <c r="CR201" i="1" s="1"/>
  <c r="CQ201" i="1" a="1"/>
  <c r="CQ201" i="1" s="1"/>
  <c r="CR264" i="1" a="1"/>
  <c r="CR264" i="1" s="1"/>
  <c r="CR37" i="1" a="1"/>
  <c r="CR37" i="1" s="1"/>
  <c r="CQ37" i="1" a="1"/>
  <c r="CQ37" i="1" s="1"/>
  <c r="CQ206" i="1" a="1"/>
  <c r="CQ206" i="1" s="1"/>
  <c r="CR109" i="1" a="1"/>
  <c r="CR109" i="1" s="1"/>
  <c r="CQ109" i="1" a="1"/>
  <c r="CQ109" i="1" s="1"/>
  <c r="CQ60" i="1" a="1"/>
  <c r="CQ60" i="1" s="1"/>
  <c r="CR60" i="1" a="1"/>
  <c r="CR60" i="1" s="1"/>
  <c r="CR195" i="1" a="1"/>
  <c r="CR195" i="1" s="1"/>
  <c r="CQ66" i="1" a="1"/>
  <c r="CQ66" i="1" s="1"/>
  <c r="CQ102" i="1" a="1"/>
  <c r="CQ102" i="1" s="1"/>
  <c r="CQ179" i="1" a="1"/>
  <c r="CQ179" i="1" s="1"/>
  <c r="CR148" i="1" a="1"/>
  <c r="CR148" i="1" s="1"/>
  <c r="CQ148" i="1" a="1"/>
  <c r="CQ148" i="1" s="1"/>
  <c r="CR260" i="1" a="1"/>
  <c r="CR260" i="1" s="1"/>
  <c r="CQ260" i="1" a="1"/>
  <c r="CQ260" i="1" s="1"/>
  <c r="CQ110" i="1" a="1"/>
  <c r="CQ110" i="1" s="1"/>
  <c r="CR110" i="1" a="1"/>
  <c r="CR110" i="1" s="1"/>
  <c r="CR124" i="1" a="1"/>
  <c r="CR124" i="1" s="1"/>
  <c r="CQ8" i="1" a="1"/>
  <c r="CQ8" i="1" s="1"/>
  <c r="CR188" i="1" a="1"/>
  <c r="CR188" i="1" s="1"/>
  <c r="CQ188" i="1" a="1"/>
  <c r="CQ188" i="1" s="1"/>
  <c r="CR163" i="1" a="1"/>
  <c r="CR163" i="1" s="1"/>
  <c r="CQ248" i="1" a="1"/>
  <c r="CQ248" i="1" s="1"/>
  <c r="CR248" i="1" a="1"/>
  <c r="CR248" i="1" s="1"/>
  <c r="CR208" i="1" a="1"/>
  <c r="CR208" i="1" s="1"/>
  <c r="CR158" i="1" a="1"/>
  <c r="CR158" i="1" s="1"/>
  <c r="CQ134" i="1" a="1"/>
  <c r="CQ134" i="1" s="1"/>
  <c r="CQ52" i="1" a="1"/>
  <c r="CQ52" i="1" s="1"/>
  <c r="CQ220" i="1" a="1"/>
  <c r="CQ220" i="1" s="1"/>
  <c r="CQ224" i="1" a="1"/>
  <c r="CQ224" i="1" s="1"/>
  <c r="CR224" i="1" a="1"/>
  <c r="CR224" i="1" s="1"/>
  <c r="CR28" i="1" a="1"/>
  <c r="CR28" i="1" s="1"/>
  <c r="CQ28" i="1" a="1"/>
  <c r="CQ28" i="1" s="1"/>
  <c r="CR164" i="1" a="1"/>
  <c r="CR164" i="1" s="1"/>
  <c r="CQ164" i="1" a="1"/>
  <c r="CQ164" i="1" s="1"/>
  <c r="CQ232" i="1" a="1"/>
  <c r="CQ232" i="1" s="1"/>
  <c r="CR232" i="1" a="1"/>
  <c r="CR232" i="1" s="1"/>
  <c r="CR111" i="1" a="1"/>
  <c r="CR111" i="1" s="1"/>
  <c r="CQ111" i="1" a="1"/>
  <c r="CQ111" i="1" s="1"/>
  <c r="CQ154" i="1" a="1"/>
  <c r="CQ154" i="1" s="1"/>
  <c r="CR154" i="1" a="1"/>
  <c r="CR154" i="1" s="1"/>
  <c r="CQ33" i="1" a="1"/>
  <c r="CQ33" i="1" s="1"/>
  <c r="CR228" i="1" a="1"/>
  <c r="CR228" i="1" s="1"/>
  <c r="CQ228" i="1" a="1"/>
  <c r="CQ228" i="1" s="1"/>
  <c r="CR27" i="1" a="1"/>
  <c r="CR27" i="1" s="1"/>
  <c r="CQ27" i="1" a="1"/>
  <c r="CQ27" i="1" s="1"/>
  <c r="CQ59" i="1" a="1"/>
  <c r="CQ59" i="1" s="1"/>
  <c r="CQ143" i="1" a="1"/>
  <c r="CQ143" i="1" s="1"/>
  <c r="CR143" i="1" a="1"/>
  <c r="CR143" i="1" s="1"/>
  <c r="CR254" i="1" a="1"/>
  <c r="CR254" i="1" s="1"/>
  <c r="CQ254" i="1" a="1"/>
  <c r="CQ254" i="1" s="1"/>
  <c r="CR30" i="1" a="1"/>
  <c r="CR30" i="1" s="1"/>
  <c r="CQ94" i="1" a="1"/>
  <c r="CQ94" i="1" s="1"/>
  <c r="CR94" i="1" a="1"/>
  <c r="CR94" i="1" s="1"/>
  <c r="CQ126" i="1" a="1"/>
  <c r="CQ126" i="1" s="1"/>
  <c r="CR126" i="1" a="1"/>
  <c r="CR126" i="1" s="1"/>
  <c r="CQ157" i="1" a="1"/>
  <c r="CQ157" i="1" s="1"/>
  <c r="CQ221" i="1" a="1"/>
  <c r="CQ221" i="1" s="1"/>
  <c r="CR221" i="1" a="1"/>
  <c r="CR221" i="1" s="1"/>
  <c r="CR253" i="1" a="1"/>
  <c r="CR253" i="1" s="1"/>
  <c r="CQ253" i="1" a="1"/>
  <c r="CQ253" i="1" s="1"/>
  <c r="CQ24" i="1" a="1"/>
  <c r="CQ24" i="1" s="1"/>
  <c r="CR180" i="1" a="1"/>
  <c r="CR180" i="1" s="1"/>
  <c r="CQ180" i="1" a="1"/>
  <c r="CQ180" i="1" s="1"/>
  <c r="CR31" i="1" a="1"/>
  <c r="CR31" i="1" s="1"/>
  <c r="CR230" i="1" a="1"/>
  <c r="CR230" i="1" s="1"/>
  <c r="CQ230" i="1" a="1"/>
  <c r="CQ230" i="1" s="1"/>
  <c r="CQ216" i="1" a="1"/>
  <c r="CQ216" i="1" s="1"/>
  <c r="CR216" i="1" a="1"/>
  <c r="CR216" i="1" s="1"/>
  <c r="CQ87" i="1" a="1"/>
  <c r="CQ87" i="1" s="1"/>
  <c r="CR87" i="1" a="1"/>
  <c r="CR87" i="1" s="1"/>
  <c r="CQ229" i="1" a="1"/>
  <c r="CQ229" i="1" s="1"/>
  <c r="CR113" i="1" a="1"/>
  <c r="CR113" i="1" s="1"/>
  <c r="CQ36" i="1" a="1"/>
  <c r="CQ36" i="1" s="1"/>
  <c r="CR23" i="1" a="1"/>
  <c r="CR23" i="1" s="1"/>
  <c r="CR55" i="1" a="1"/>
  <c r="CR55" i="1" s="1"/>
  <c r="CQ131" i="1" a="1"/>
  <c r="CQ131" i="1" s="1"/>
  <c r="CQ19" i="1" a="1"/>
  <c r="CQ19" i="1" s="1"/>
  <c r="CQ129" i="1" a="1"/>
  <c r="CQ129" i="1" s="1"/>
  <c r="CQ151" i="1" a="1"/>
  <c r="CQ151" i="1" s="1"/>
  <c r="CQ130" i="1" a="1"/>
  <c r="CQ130" i="1" s="1"/>
  <c r="CR177" i="1" a="1"/>
  <c r="CR177" i="1" s="1"/>
  <c r="CQ257" i="1" a="1"/>
  <c r="CQ257" i="1" s="1"/>
  <c r="CR100" i="1" a="1"/>
  <c r="CR100" i="1" s="1"/>
  <c r="CQ100" i="1" a="1"/>
  <c r="CQ100" i="1" s="1"/>
  <c r="CQ153" i="1" a="1"/>
  <c r="CQ153" i="1" s="1"/>
  <c r="CR153" i="1" a="1"/>
  <c r="CR153" i="1" s="1"/>
  <c r="CR207" i="1" a="1"/>
  <c r="CR207" i="1" s="1"/>
  <c r="CQ207" i="1" a="1"/>
  <c r="CQ207" i="1" s="1"/>
  <c r="CQ243" i="1" a="1"/>
  <c r="CQ243" i="1" s="1"/>
  <c r="CR243" i="1" a="1"/>
  <c r="CR243" i="1" s="1"/>
  <c r="CR57" i="1" a="1"/>
  <c r="CR57" i="1" s="1"/>
  <c r="CQ57" i="1" a="1"/>
  <c r="CQ57" i="1" s="1"/>
  <c r="CR244" i="1" a="1"/>
  <c r="CR244" i="1" s="1"/>
  <c r="CQ244" i="1" a="1"/>
  <c r="CQ244" i="1" s="1"/>
  <c r="CR147" i="1" a="1"/>
  <c r="CR147" i="1" s="1"/>
  <c r="CQ214" i="1" a="1"/>
  <c r="CQ214" i="1" s="1"/>
  <c r="CR214" i="1" a="1"/>
  <c r="CR214" i="1" s="1"/>
  <c r="CQ141" i="1" a="1"/>
  <c r="CQ141" i="1" s="1"/>
  <c r="CR141" i="1" a="1"/>
  <c r="CR141" i="1" s="1"/>
  <c r="CQ252" i="1" a="1"/>
  <c r="CQ252" i="1" s="1"/>
  <c r="CR63" i="1" a="1"/>
  <c r="CR63" i="1" s="1"/>
  <c r="CQ10" i="1" a="1"/>
  <c r="CQ10" i="1" s="1"/>
  <c r="CQ42" i="1" a="1"/>
  <c r="CQ42" i="1" s="1"/>
  <c r="CR42" i="1" a="1"/>
  <c r="CR42" i="1" s="1"/>
  <c r="CQ74" i="1" a="1"/>
  <c r="CQ74" i="1" s="1"/>
  <c r="CR74" i="1" a="1"/>
  <c r="CR74" i="1" s="1"/>
  <c r="CR122" i="1" a="1"/>
  <c r="CR122" i="1" s="1"/>
  <c r="CR233" i="1" a="1"/>
  <c r="CR233" i="1" s="1"/>
  <c r="CQ159" i="1" a="1"/>
  <c r="CQ159" i="1" s="1"/>
  <c r="CR159" i="1" a="1"/>
  <c r="CR159" i="1" s="1"/>
  <c r="CQ125" i="1" a="1"/>
  <c r="CQ125" i="1" s="1"/>
  <c r="CR125" i="1" a="1"/>
  <c r="CR125" i="1" s="1"/>
  <c r="CQ184" i="1" a="1"/>
  <c r="CQ184" i="1" s="1"/>
  <c r="CR44" i="1" a="1"/>
  <c r="CR44" i="1" s="1"/>
  <c r="CQ44" i="1" a="1"/>
  <c r="CQ44" i="1" s="1"/>
  <c r="CQ112" i="1" a="1"/>
  <c r="CQ112" i="1" s="1"/>
  <c r="CQ65" i="1" a="1"/>
  <c r="CQ65" i="1" s="1"/>
  <c r="CR247" i="1" a="1"/>
  <c r="CR247" i="1" s="1"/>
  <c r="CQ269" i="1" a="1"/>
  <c r="CQ269" i="1" s="1"/>
  <c r="CR160" i="1" a="1"/>
  <c r="CR160" i="1" s="1"/>
  <c r="CR119" i="1" a="1"/>
  <c r="CR119" i="1" s="1"/>
  <c r="CR200" i="1" a="1"/>
  <c r="CR200" i="1" s="1"/>
  <c r="CR262" i="1" a="1"/>
  <c r="CR262" i="1" s="1"/>
  <c r="CQ193" i="1" a="1"/>
  <c r="CQ193" i="1" s="1"/>
  <c r="CR213" i="1" a="1"/>
  <c r="CR213" i="1" s="1"/>
  <c r="CQ213" i="1" a="1"/>
  <c r="CQ213" i="1" s="1"/>
  <c r="CR104" i="1" a="1"/>
  <c r="CR104" i="1" s="1"/>
  <c r="CR144" i="1" a="1"/>
  <c r="CR144" i="1" s="1"/>
  <c r="CR231" i="1" a="1"/>
  <c r="CR231" i="1" s="1"/>
  <c r="CR29" i="1" a="1"/>
  <c r="CR29" i="1" s="1"/>
  <c r="CQ174" i="1" a="1"/>
  <c r="CQ174" i="1" s="1"/>
  <c r="CQ101" i="1" a="1"/>
  <c r="CQ101" i="1" s="1"/>
  <c r="CQ209" i="1" a="1"/>
  <c r="CQ209" i="1" s="1"/>
  <c r="CQ190" i="1" a="1"/>
  <c r="CQ190" i="1" s="1"/>
  <c r="CQ18" i="1" a="1"/>
  <c r="CQ18" i="1" s="1"/>
  <c r="CR50" i="1" a="1"/>
  <c r="CR50" i="1" s="1"/>
  <c r="CQ98" i="1" a="1"/>
  <c r="CQ98" i="1" s="1"/>
  <c r="CR161" i="1" a="1"/>
  <c r="CR161" i="1" s="1"/>
  <c r="CQ225" i="1" a="1"/>
  <c r="CQ225" i="1" s="1"/>
  <c r="CQ13" i="1" a="1"/>
  <c r="CQ13" i="1" s="1"/>
  <c r="CQ140" i="1" a="1"/>
  <c r="CQ140" i="1" s="1"/>
  <c r="CQ167" i="1" a="1"/>
  <c r="CQ167" i="1" s="1"/>
  <c r="CQ259" i="1" a="1"/>
  <c r="CQ259" i="1" s="1"/>
  <c r="CQ56" i="1" a="1"/>
  <c r="CQ56" i="1" s="1"/>
  <c r="CR85" i="1" a="1"/>
  <c r="CR85" i="1" s="1"/>
  <c r="CR35" i="1" a="1"/>
  <c r="CR35" i="1" s="1"/>
  <c r="CR183" i="1" a="1"/>
  <c r="CR183" i="1" s="1"/>
  <c r="CQ267" i="1" a="1"/>
  <c r="CQ267" i="1" s="1"/>
  <c r="CR72" i="1" a="1"/>
  <c r="CR72" i="1" s="1"/>
  <c r="CR251" i="1" a="1"/>
  <c r="CR251" i="1" s="1"/>
  <c r="CQ236" i="1" a="1"/>
  <c r="CQ236" i="1" s="1"/>
  <c r="CQ80" i="1" a="1"/>
  <c r="CQ80" i="1" s="1"/>
  <c r="CQ21" i="1" a="1"/>
  <c r="CQ21" i="1" s="1"/>
  <c r="CR21" i="1" a="1"/>
  <c r="CR21" i="1" s="1"/>
  <c r="CR137" i="1" a="1"/>
  <c r="CR137" i="1" s="1"/>
  <c r="CQ137" i="1" a="1"/>
  <c r="CQ137" i="1" s="1"/>
  <c r="CQ76" i="1" a="1"/>
  <c r="CQ76" i="1" s="1"/>
  <c r="CR76" i="1" a="1"/>
  <c r="CR76" i="1" s="1"/>
  <c r="CR41" i="1" a="1"/>
  <c r="CR41" i="1" s="1"/>
  <c r="CQ7" i="1" a="1"/>
  <c r="CQ7" i="1" s="1"/>
  <c r="CQ226" i="1" a="1"/>
  <c r="CQ226" i="1" s="1"/>
  <c r="CR58" i="1" a="1"/>
  <c r="CR58" i="1" s="1"/>
  <c r="CQ58" i="1" a="1"/>
  <c r="CQ58" i="1" s="1"/>
  <c r="CR77" i="1" a="1"/>
  <c r="CR77" i="1" s="1"/>
  <c r="CR16" i="1" a="1"/>
  <c r="CR16" i="1" s="1"/>
  <c r="CR88" i="1" a="1"/>
  <c r="CR88" i="1" s="1"/>
  <c r="CQ88" i="1" a="1"/>
  <c r="CQ88" i="1" s="1"/>
  <c r="CQ215" i="1" a="1"/>
  <c r="CQ215" i="1" s="1"/>
  <c r="CR215" i="1" a="1"/>
  <c r="CR215" i="1" s="1"/>
  <c r="CR9" i="1" a="1"/>
  <c r="CR9" i="1" s="1"/>
  <c r="CQ9" i="1" a="1"/>
  <c r="CQ9" i="1" s="1"/>
  <c r="CR92" i="1" a="1"/>
  <c r="CR92" i="1" s="1"/>
  <c r="CQ92" i="1" a="1"/>
  <c r="CQ92" i="1" s="1"/>
  <c r="CQ270" i="1" a="1"/>
  <c r="CQ270" i="1" s="1"/>
  <c r="CR270" i="1" a="1"/>
  <c r="CR270" i="1" s="1"/>
  <c r="CR212" i="1" a="1"/>
  <c r="CR212" i="1" s="1"/>
  <c r="CQ212" i="1" a="1"/>
  <c r="CQ212" i="1" s="1"/>
  <c r="CQ96" i="1" a="1"/>
  <c r="CQ96" i="1" s="1"/>
  <c r="CR96" i="1" a="1"/>
  <c r="CR96" i="1" s="1"/>
  <c r="CR223" i="1" a="1"/>
  <c r="CR223" i="1" s="1"/>
  <c r="CQ223" i="1" a="1"/>
  <c r="CQ223" i="1" s="1"/>
  <c r="CQ93" i="1" a="1"/>
  <c r="CQ93" i="1" s="1"/>
  <c r="CR93" i="1" a="1"/>
  <c r="CR93" i="1" s="1"/>
  <c r="CQ15" i="1" a="1"/>
  <c r="CQ15" i="1" s="1"/>
  <c r="CR15" i="1" a="1"/>
  <c r="CR15" i="1" s="1"/>
  <c r="CR121" i="1" a="1"/>
  <c r="CR121" i="1" s="1"/>
  <c r="CQ121" i="1" a="1"/>
  <c r="CQ121" i="1" s="1"/>
  <c r="CR166" i="1" a="1"/>
  <c r="CR166" i="1" s="1"/>
  <c r="CQ166" i="1" a="1"/>
  <c r="CQ166" i="1" s="1"/>
  <c r="CQ246" i="1" a="1"/>
  <c r="CQ246" i="1" s="1"/>
  <c r="CR246" i="1" a="1"/>
  <c r="CR246" i="1" s="1"/>
  <c r="CR149" i="1" a="1"/>
  <c r="CR149" i="1" s="1"/>
  <c r="CQ149" i="1" a="1"/>
  <c r="CQ149" i="1" s="1"/>
  <c r="CQ240" i="1" a="1"/>
  <c r="CQ240" i="1" s="1"/>
  <c r="CR240" i="1" a="1"/>
  <c r="CR240" i="1" s="1"/>
  <c r="CR222" i="1" a="1"/>
  <c r="CR222" i="1" s="1"/>
  <c r="CQ222" i="1" a="1"/>
  <c r="CQ222" i="1" s="1"/>
  <c r="CQ265" i="1" a="1"/>
  <c r="CQ265" i="1" s="1"/>
  <c r="CR265" i="1" a="1"/>
  <c r="CR265" i="1" s="1"/>
  <c r="CQ30" i="1" a="1"/>
  <c r="CQ30" i="1" s="1"/>
  <c r="CR157" i="1" a="1"/>
  <c r="CR157" i="1" s="1"/>
  <c r="CR49" i="1" a="1"/>
  <c r="CR49" i="1" s="1"/>
  <c r="CQ105" i="1" a="1"/>
  <c r="CQ105" i="1" s="1"/>
  <c r="CR105" i="1" a="1"/>
  <c r="CR105" i="1" s="1"/>
  <c r="CQ31" i="1" a="1"/>
  <c r="CQ31" i="1" s="1"/>
  <c r="CQ86" i="1" a="1"/>
  <c r="CQ86" i="1" s="1"/>
  <c r="CR86" i="1" a="1"/>
  <c r="CR86" i="1" s="1"/>
  <c r="CR187" i="1" a="1"/>
  <c r="CR187" i="1" s="1"/>
  <c r="CQ187" i="1" a="1"/>
  <c r="CQ187" i="1" s="1"/>
  <c r="CQ117" i="1" a="1"/>
  <c r="CQ117" i="1" s="1"/>
  <c r="CR117" i="1" a="1"/>
  <c r="CR117" i="1" s="1"/>
  <c r="CR108" i="1" a="1"/>
  <c r="CR108" i="1" s="1"/>
  <c r="CQ108" i="1" a="1"/>
  <c r="CQ108" i="1" s="1"/>
  <c r="CR132" i="1" a="1"/>
  <c r="CR132" i="1" s="1"/>
  <c r="CQ132" i="1" a="1"/>
  <c r="CQ132" i="1" s="1"/>
  <c r="CR227" i="1" a="1"/>
  <c r="CR227" i="1" s="1"/>
  <c r="CQ227" i="1" a="1"/>
  <c r="CQ227" i="1" s="1"/>
  <c r="CQ133" i="1" a="1"/>
  <c r="CQ133" i="1" s="1"/>
  <c r="CR133" i="1" a="1"/>
  <c r="CR133" i="1" s="1"/>
  <c r="CQ120" i="1" a="1"/>
  <c r="CQ120" i="1" s="1"/>
  <c r="CR120" i="1" a="1"/>
  <c r="CR120" i="1" s="1"/>
  <c r="CQ115" i="1" a="1"/>
  <c r="CQ115" i="1" s="1"/>
  <c r="CR115" i="1" a="1"/>
  <c r="CR115" i="1" s="1"/>
  <c r="CQ185" i="1" a="1"/>
  <c r="CQ185" i="1" s="1"/>
  <c r="CR185" i="1" a="1"/>
  <c r="CR185" i="1" s="1"/>
  <c r="CQ219" i="1" a="1"/>
  <c r="CQ219" i="1" s="1"/>
  <c r="CR219" i="1" a="1"/>
  <c r="CR219" i="1" s="1"/>
  <c r="CR145" i="1" a="1"/>
  <c r="CR145" i="1" s="1"/>
  <c r="CQ145" i="1" a="1"/>
  <c r="CQ145" i="1" s="1"/>
  <c r="CQ218" i="1" a="1"/>
  <c r="CQ218" i="1" s="1"/>
  <c r="CR218" i="1" a="1"/>
  <c r="CR218" i="1" s="1"/>
  <c r="CQ61" i="1" a="1"/>
  <c r="CQ61" i="1" s="1"/>
  <c r="CR61" i="1" a="1"/>
  <c r="CR61" i="1" s="1"/>
  <c r="CR112" i="1" a="1"/>
  <c r="CR112" i="1" s="1"/>
  <c r="CS258" i="1" l="1"/>
  <c r="DG258" i="1" s="1"/>
  <c r="CS113" i="1"/>
  <c r="CY113" i="1" s="1"/>
  <c r="CS216" i="1"/>
  <c r="CS13" i="1"/>
  <c r="CT13" i="1" s="1"/>
  <c r="CS101" i="1"/>
  <c r="CS127" i="1"/>
  <c r="CT127" i="1" s="1"/>
  <c r="CS210" i="1"/>
  <c r="CX210" i="1" s="1"/>
  <c r="CS95" i="1"/>
  <c r="CX95" i="1" s="1"/>
  <c r="CS124" i="1"/>
  <c r="CT124" i="1" s="1"/>
  <c r="CS209" i="1"/>
  <c r="CT209" i="1" s="1"/>
  <c r="CS79" i="1"/>
  <c r="DB79" i="1" s="1"/>
  <c r="CS250" i="1"/>
  <c r="CX250" i="1" s="1"/>
  <c r="CS112" i="1"/>
  <c r="DB112" i="1" s="1"/>
  <c r="CS267" i="1"/>
  <c r="CV267" i="1" s="1"/>
  <c r="CS242" i="1"/>
  <c r="CS252" i="1"/>
  <c r="CW252" i="1" s="1"/>
  <c r="CS158" i="1"/>
  <c r="CS40" i="1"/>
  <c r="CS34" i="1"/>
  <c r="CS194" i="1"/>
  <c r="CS25" i="1"/>
  <c r="CS160" i="1"/>
  <c r="CS10" i="1"/>
  <c r="CS66" i="1"/>
  <c r="CU66" i="1" s="1"/>
  <c r="CS75" i="1"/>
  <c r="CS182" i="1"/>
  <c r="CS48" i="1"/>
  <c r="CS140" i="1"/>
  <c r="CW140" i="1" s="1"/>
  <c r="CS129" i="1"/>
  <c r="CS206" i="1"/>
  <c r="CS139" i="1"/>
  <c r="CS175" i="1"/>
  <c r="CU175" i="1" s="1"/>
  <c r="CS161" i="1"/>
  <c r="CS104" i="1"/>
  <c r="CS63" i="1"/>
  <c r="CS52" i="1"/>
  <c r="CS197" i="1"/>
  <c r="CS138" i="1"/>
  <c r="CS135" i="1"/>
  <c r="CS172" i="1"/>
  <c r="CS171" i="1"/>
  <c r="CS226" i="1"/>
  <c r="CS183" i="1"/>
  <c r="CS190" i="1"/>
  <c r="CS249" i="1"/>
  <c r="CS173" i="1"/>
  <c r="CS255" i="1"/>
  <c r="CS202" i="1"/>
  <c r="CS162" i="1"/>
  <c r="CS150" i="1"/>
  <c r="CS165" i="1"/>
  <c r="CS251" i="1"/>
  <c r="CS231" i="1"/>
  <c r="CS204" i="1"/>
  <c r="CS211" i="1"/>
  <c r="CS49" i="1"/>
  <c r="CS77" i="1"/>
  <c r="CS72" i="1"/>
  <c r="CS269" i="1"/>
  <c r="CS177" i="1"/>
  <c r="CS55" i="1"/>
  <c r="CS81" i="1"/>
  <c r="CS107" i="1"/>
  <c r="CS156" i="1"/>
  <c r="CS236" i="1"/>
  <c r="CS225" i="1"/>
  <c r="CS29" i="1"/>
  <c r="CS151" i="1"/>
  <c r="CS264" i="1"/>
  <c r="CS263" i="1"/>
  <c r="CS71" i="1"/>
  <c r="CS181" i="1"/>
  <c r="CS26" i="1"/>
  <c r="CS14" i="1"/>
  <c r="CS7" i="1"/>
  <c r="CS35" i="1"/>
  <c r="CS257" i="1"/>
  <c r="CS195" i="1"/>
  <c r="CS199" i="1"/>
  <c r="CS198" i="1"/>
  <c r="CS85" i="1"/>
  <c r="CS98" i="1"/>
  <c r="CS144" i="1"/>
  <c r="CS234" i="1"/>
  <c r="CS64" i="1"/>
  <c r="CS170" i="1"/>
  <c r="CS68" i="1"/>
  <c r="CS56" i="1"/>
  <c r="CS174" i="1"/>
  <c r="CS262" i="1"/>
  <c r="CS247" i="1"/>
  <c r="CS130" i="1"/>
  <c r="CS228" i="1"/>
  <c r="CS8" i="1"/>
  <c r="CS47" i="1"/>
  <c r="CS266" i="1"/>
  <c r="CS84" i="1"/>
  <c r="CS54" i="1"/>
  <c r="CS261" i="1"/>
  <c r="CS51" i="1"/>
  <c r="CS83" i="1"/>
  <c r="CS100" i="1"/>
  <c r="CS221" i="1"/>
  <c r="CS254" i="1"/>
  <c r="CS232" i="1"/>
  <c r="CS200" i="1"/>
  <c r="CS184" i="1"/>
  <c r="CS89" i="1"/>
  <c r="CS38" i="1"/>
  <c r="CS167" i="1"/>
  <c r="CS24" i="1"/>
  <c r="CS220" i="1"/>
  <c r="CS118" i="1"/>
  <c r="CS57" i="1"/>
  <c r="CS16" i="1"/>
  <c r="CS193" i="1"/>
  <c r="CS11" i="1"/>
  <c r="CS22" i="1"/>
  <c r="CS239" i="1"/>
  <c r="CS39" i="1"/>
  <c r="CS132" i="1"/>
  <c r="CS207" i="1"/>
  <c r="CS215" i="1"/>
  <c r="CS80" i="1"/>
  <c r="CS42" i="1"/>
  <c r="CS23" i="1"/>
  <c r="CS229" i="1"/>
  <c r="CS94" i="1"/>
  <c r="CS134" i="1"/>
  <c r="CS241" i="1"/>
  <c r="CS17" i="1"/>
  <c r="CS67" i="1"/>
  <c r="CS128" i="1"/>
  <c r="CS99" i="1"/>
  <c r="CS187" i="1"/>
  <c r="CS222" i="1"/>
  <c r="CS119" i="1"/>
  <c r="CS122" i="1"/>
  <c r="CS19" i="1"/>
  <c r="CS110" i="1"/>
  <c r="CS245" i="1"/>
  <c r="CS46" i="1"/>
  <c r="CS205" i="1"/>
  <c r="CS271" i="1"/>
  <c r="CS114" i="1"/>
  <c r="CS152" i="1"/>
  <c r="CS78" i="1"/>
  <c r="CS227" i="1"/>
  <c r="CS65" i="1"/>
  <c r="CS59" i="1"/>
  <c r="CS146" i="1"/>
  <c r="CS97" i="1"/>
  <c r="CS62" i="1"/>
  <c r="CS91" i="1"/>
  <c r="CS70" i="1"/>
  <c r="CS90" i="1"/>
  <c r="CS61" i="1"/>
  <c r="CS145" i="1"/>
  <c r="CS185" i="1"/>
  <c r="CS133" i="1"/>
  <c r="CS265" i="1"/>
  <c r="CS240" i="1"/>
  <c r="CS121" i="1"/>
  <c r="CS212" i="1"/>
  <c r="CS9" i="1"/>
  <c r="CS88" i="1"/>
  <c r="CS125" i="1"/>
  <c r="CS233" i="1"/>
  <c r="CS214" i="1"/>
  <c r="CS147" i="1"/>
  <c r="CS244" i="1"/>
  <c r="CS243" i="1"/>
  <c r="CS131" i="1"/>
  <c r="CS230" i="1"/>
  <c r="CS253" i="1"/>
  <c r="CS143" i="1"/>
  <c r="CS27" i="1"/>
  <c r="CS28" i="1"/>
  <c r="CS148" i="1"/>
  <c r="CS37" i="1"/>
  <c r="CS191" i="1"/>
  <c r="CS238" i="1"/>
  <c r="CS45" i="1"/>
  <c r="CS176" i="1"/>
  <c r="CS32" i="1"/>
  <c r="CS189" i="1"/>
  <c r="CS123" i="1"/>
  <c r="CS142" i="1"/>
  <c r="CS196" i="1"/>
  <c r="CS256" i="1"/>
  <c r="CS115" i="1"/>
  <c r="CS120" i="1"/>
  <c r="CS157" i="1"/>
  <c r="CS93" i="1"/>
  <c r="CS50" i="1"/>
  <c r="CS36" i="1"/>
  <c r="CS33" i="1"/>
  <c r="CS208" i="1"/>
  <c r="CS163" i="1"/>
  <c r="CS60" i="1"/>
  <c r="CS235" i="1"/>
  <c r="CS136" i="1"/>
  <c r="CS82" i="1"/>
  <c r="CS73" i="1"/>
  <c r="CS217" i="1"/>
  <c r="CS186" i="1"/>
  <c r="CS259" i="1"/>
  <c r="CS18" i="1"/>
  <c r="CS102" i="1"/>
  <c r="CS53" i="1"/>
  <c r="CS168" i="1"/>
  <c r="CS106" i="1"/>
  <c r="CS43" i="1"/>
  <c r="CS108" i="1"/>
  <c r="CS117" i="1"/>
  <c r="CS15" i="1"/>
  <c r="CS58" i="1"/>
  <c r="CS44" i="1"/>
  <c r="CS153" i="1"/>
  <c r="CS31" i="1"/>
  <c r="CS111" i="1"/>
  <c r="CS164" i="1"/>
  <c r="CS188" i="1"/>
  <c r="CS201" i="1"/>
  <c r="CS86" i="1"/>
  <c r="CS105" i="1"/>
  <c r="CS149" i="1"/>
  <c r="CS246" i="1"/>
  <c r="CS166" i="1"/>
  <c r="CS223" i="1"/>
  <c r="CS96" i="1"/>
  <c r="CS270" i="1"/>
  <c r="CS92" i="1"/>
  <c r="CS137" i="1"/>
  <c r="CS213" i="1"/>
  <c r="CS159" i="1"/>
  <c r="CS87" i="1"/>
  <c r="CS180" i="1"/>
  <c r="CS30" i="1"/>
  <c r="CS154" i="1"/>
  <c r="CS224" i="1"/>
  <c r="CS248" i="1"/>
  <c r="CS260" i="1"/>
  <c r="CS109" i="1"/>
  <c r="CS169" i="1"/>
  <c r="CS103" i="1"/>
  <c r="CS12" i="1"/>
  <c r="CS69" i="1"/>
  <c r="CS192" i="1"/>
  <c r="CS179" i="1"/>
  <c r="CS218" i="1"/>
  <c r="CS219" i="1"/>
  <c r="CS41" i="1"/>
  <c r="CS76" i="1"/>
  <c r="CS21" i="1"/>
  <c r="CS74" i="1"/>
  <c r="CS141" i="1"/>
  <c r="CS126" i="1"/>
  <c r="CS116" i="1"/>
  <c r="CS155" i="1"/>
  <c r="CS268" i="1"/>
  <c r="CS178" i="1"/>
  <c r="CS20" i="1"/>
  <c r="CS203" i="1"/>
  <c r="CS237" i="1"/>
  <c r="CT258" i="1" l="1"/>
  <c r="CW258" i="1"/>
  <c r="CV258" i="1"/>
  <c r="CU258" i="1"/>
  <c r="CU113" i="1"/>
  <c r="DE113" i="1"/>
  <c r="DD258" i="1"/>
  <c r="CY258" i="1"/>
  <c r="DC258" i="1"/>
  <c r="DA258" i="1"/>
  <c r="DF258" i="1"/>
  <c r="CX258" i="1"/>
  <c r="CZ258" i="1"/>
  <c r="DE258" i="1"/>
  <c r="DB258" i="1"/>
  <c r="DC113" i="1"/>
  <c r="DD113" i="1"/>
  <c r="DF113" i="1"/>
  <c r="CX113" i="1"/>
  <c r="DG113" i="1"/>
  <c r="DB113" i="1"/>
  <c r="CT113" i="1"/>
  <c r="CW113" i="1"/>
  <c r="CZ113" i="1"/>
  <c r="CV113" i="1"/>
  <c r="DA113" i="1"/>
  <c r="DD267" i="1"/>
  <c r="CX101" i="1"/>
  <c r="CV101" i="1"/>
  <c r="CZ101" i="1"/>
  <c r="CW101" i="1"/>
  <c r="DA101" i="1"/>
  <c r="CY101" i="1"/>
  <c r="CV186" i="1"/>
  <c r="CZ186" i="1"/>
  <c r="CY186" i="1"/>
  <c r="CW186" i="1"/>
  <c r="DA186" i="1"/>
  <c r="CX186" i="1"/>
  <c r="CY127" i="1"/>
  <c r="CW127" i="1"/>
  <c r="DD127" i="1"/>
  <c r="DB127" i="1"/>
  <c r="DF127" i="1"/>
  <c r="DA127" i="1"/>
  <c r="CX127" i="1"/>
  <c r="CV127" i="1"/>
  <c r="DE127" i="1"/>
  <c r="CZ127" i="1"/>
  <c r="DG127" i="1"/>
  <c r="CU127" i="1"/>
  <c r="DC127" i="1"/>
  <c r="DE210" i="1"/>
  <c r="CY210" i="1"/>
  <c r="DG210" i="1"/>
  <c r="DA210" i="1"/>
  <c r="CW210" i="1"/>
  <c r="DC210" i="1"/>
  <c r="CZ210" i="1"/>
  <c r="CT210" i="1"/>
  <c r="CV210" i="1"/>
  <c r="DD210" i="1"/>
  <c r="DB210" i="1"/>
  <c r="CU210" i="1"/>
  <c r="DF210" i="1"/>
  <c r="DD13" i="1"/>
  <c r="CV13" i="1"/>
  <c r="CZ124" i="1"/>
  <c r="CU79" i="1"/>
  <c r="DA124" i="1"/>
  <c r="CU95" i="1"/>
  <c r="CU13" i="1"/>
  <c r="CV250" i="1"/>
  <c r="CW13" i="1"/>
  <c r="DE95" i="1"/>
  <c r="CT250" i="1"/>
  <c r="CW95" i="1"/>
  <c r="CU250" i="1"/>
  <c r="DA95" i="1"/>
  <c r="CV95" i="1"/>
  <c r="CW250" i="1"/>
  <c r="DB95" i="1"/>
  <c r="DF250" i="1"/>
  <c r="DC13" i="1"/>
  <c r="DD79" i="1"/>
  <c r="DE250" i="1"/>
  <c r="CY13" i="1"/>
  <c r="DD95" i="1"/>
  <c r="DF13" i="1"/>
  <c r="CZ95" i="1"/>
  <c r="DA13" i="1"/>
  <c r="DB13" i="1"/>
  <c r="DG95" i="1"/>
  <c r="DG13" i="1"/>
  <c r="DF95" i="1"/>
  <c r="DE13" i="1"/>
  <c r="DC95" i="1"/>
  <c r="CZ13" i="1"/>
  <c r="CX13" i="1"/>
  <c r="CT95" i="1"/>
  <c r="DF124" i="1"/>
  <c r="CV124" i="1"/>
  <c r="DD124" i="1"/>
  <c r="CY95" i="1"/>
  <c r="DE209" i="1"/>
  <c r="DC209" i="1"/>
  <c r="CU209" i="1"/>
  <c r="CV112" i="1"/>
  <c r="CU124" i="1"/>
  <c r="CW209" i="1"/>
  <c r="DD209" i="1"/>
  <c r="DE124" i="1"/>
  <c r="CY124" i="1"/>
  <c r="DB124" i="1"/>
  <c r="DA209" i="1"/>
  <c r="DB209" i="1"/>
  <c r="DG124" i="1"/>
  <c r="DG209" i="1"/>
  <c r="CY209" i="1"/>
  <c r="CW124" i="1"/>
  <c r="CV209" i="1"/>
  <c r="DF209" i="1"/>
  <c r="DC124" i="1"/>
  <c r="CX124" i="1"/>
  <c r="CZ209" i="1"/>
  <c r="CX209" i="1"/>
  <c r="DD250" i="1"/>
  <c r="CY250" i="1"/>
  <c r="DC250" i="1"/>
  <c r="CW79" i="1"/>
  <c r="DE79" i="1"/>
  <c r="DG79" i="1"/>
  <c r="CV79" i="1"/>
  <c r="CU267" i="1"/>
  <c r="DC79" i="1"/>
  <c r="DF79" i="1"/>
  <c r="CY79" i="1"/>
  <c r="DA79" i="1"/>
  <c r="CX79" i="1"/>
  <c r="CT79" i="1"/>
  <c r="CZ250" i="1"/>
  <c r="CZ79" i="1"/>
  <c r="DA250" i="1"/>
  <c r="DG250" i="1"/>
  <c r="DB250" i="1"/>
  <c r="DD112" i="1"/>
  <c r="CY112" i="1"/>
  <c r="DG112" i="1"/>
  <c r="CW267" i="1"/>
  <c r="DA112" i="1"/>
  <c r="CX112" i="1"/>
  <c r="CZ112" i="1"/>
  <c r="CT112" i="1"/>
  <c r="CU112" i="1"/>
  <c r="DE112" i="1"/>
  <c r="DC112" i="1"/>
  <c r="CW112" i="1"/>
  <c r="DF112" i="1"/>
  <c r="CT116" i="1"/>
  <c r="DG116" i="1"/>
  <c r="CT218" i="1"/>
  <c r="DG218" i="1"/>
  <c r="CT260" i="1"/>
  <c r="DG260" i="1"/>
  <c r="CT159" i="1"/>
  <c r="DG159" i="1"/>
  <c r="CT201" i="1"/>
  <c r="DG201" i="1"/>
  <c r="CT15" i="1"/>
  <c r="DG15" i="1"/>
  <c r="CT217" i="1"/>
  <c r="DG217" i="1"/>
  <c r="CT157" i="1"/>
  <c r="DG157" i="1"/>
  <c r="CT191" i="1"/>
  <c r="DG191" i="1"/>
  <c r="CT214" i="1"/>
  <c r="DG214" i="1"/>
  <c r="CT61" i="1"/>
  <c r="DG61" i="1"/>
  <c r="CT65" i="1"/>
  <c r="DG65" i="1"/>
  <c r="CT245" i="1"/>
  <c r="DG245" i="1"/>
  <c r="CT128" i="1"/>
  <c r="DG128" i="1"/>
  <c r="CT207" i="1"/>
  <c r="DG207" i="1"/>
  <c r="CT167" i="1"/>
  <c r="DG167" i="1"/>
  <c r="CT54" i="1"/>
  <c r="DG54" i="1"/>
  <c r="CT262" i="1"/>
  <c r="DG262" i="1"/>
  <c r="CT7" i="1"/>
  <c r="DG7" i="1"/>
  <c r="CT29" i="1"/>
  <c r="DG29" i="1"/>
  <c r="CT211" i="1"/>
  <c r="DG211" i="1"/>
  <c r="CT135" i="1"/>
  <c r="DG135" i="1"/>
  <c r="CT161" i="1"/>
  <c r="DG161" i="1"/>
  <c r="CT75" i="1"/>
  <c r="DG75" i="1"/>
  <c r="CT237" i="1"/>
  <c r="DG237" i="1"/>
  <c r="CT268" i="1"/>
  <c r="DG268" i="1"/>
  <c r="CT126" i="1"/>
  <c r="DG126" i="1"/>
  <c r="CT76" i="1"/>
  <c r="DG76" i="1"/>
  <c r="CT179" i="1"/>
  <c r="DG179" i="1"/>
  <c r="CT103" i="1"/>
  <c r="DG103" i="1"/>
  <c r="CT248" i="1"/>
  <c r="DG248" i="1"/>
  <c r="CT180" i="1"/>
  <c r="DG180" i="1"/>
  <c r="CT213" i="1"/>
  <c r="DG213" i="1"/>
  <c r="CT96" i="1"/>
  <c r="DG96" i="1"/>
  <c r="CT149" i="1"/>
  <c r="DG149" i="1"/>
  <c r="CT188" i="1"/>
  <c r="DG188" i="1"/>
  <c r="CT153" i="1"/>
  <c r="DG153" i="1"/>
  <c r="CT117" i="1"/>
  <c r="DG117" i="1"/>
  <c r="CT106" i="1"/>
  <c r="DG106" i="1"/>
  <c r="CT18" i="1"/>
  <c r="DG18" i="1"/>
  <c r="CT73" i="1"/>
  <c r="DG73" i="1"/>
  <c r="CT60" i="1"/>
  <c r="DG60" i="1"/>
  <c r="CT36" i="1"/>
  <c r="DG36" i="1"/>
  <c r="CT120" i="1"/>
  <c r="DG120" i="1"/>
  <c r="CT142" i="1"/>
  <c r="DG142" i="1"/>
  <c r="CT176" i="1"/>
  <c r="DG176" i="1"/>
  <c r="CT37" i="1"/>
  <c r="DG37" i="1"/>
  <c r="CT143" i="1"/>
  <c r="DG143" i="1"/>
  <c r="CT243" i="1"/>
  <c r="DG243" i="1"/>
  <c r="CT233" i="1"/>
  <c r="DG233" i="1"/>
  <c r="CT212" i="1"/>
  <c r="DG212" i="1"/>
  <c r="CT133" i="1"/>
  <c r="DG133" i="1"/>
  <c r="CT90" i="1"/>
  <c r="DG90" i="1"/>
  <c r="CT97" i="1"/>
  <c r="DG97" i="1"/>
  <c r="CT227" i="1"/>
  <c r="DG227" i="1"/>
  <c r="CT271" i="1"/>
  <c r="DG271" i="1"/>
  <c r="CT110" i="1"/>
  <c r="DG110" i="1"/>
  <c r="CT222" i="1"/>
  <c r="DG222" i="1"/>
  <c r="CT67" i="1"/>
  <c r="DG67" i="1"/>
  <c r="CT134" i="1"/>
  <c r="DG134" i="1"/>
  <c r="CT42" i="1"/>
  <c r="DG42" i="1"/>
  <c r="CT132" i="1"/>
  <c r="DG132" i="1"/>
  <c r="CT11" i="1"/>
  <c r="DG11" i="1"/>
  <c r="CT118" i="1"/>
  <c r="DG118" i="1"/>
  <c r="CT38" i="1"/>
  <c r="DG38" i="1"/>
  <c r="CT232" i="1"/>
  <c r="DG232" i="1"/>
  <c r="CT83" i="1"/>
  <c r="DG83" i="1"/>
  <c r="CT84" i="1"/>
  <c r="DG84" i="1"/>
  <c r="CT228" i="1"/>
  <c r="DG228" i="1"/>
  <c r="CT174" i="1"/>
  <c r="DG174" i="1"/>
  <c r="CT170" i="1"/>
  <c r="DG170" i="1"/>
  <c r="CT98" i="1"/>
  <c r="DG98" i="1"/>
  <c r="CT195" i="1"/>
  <c r="DG195" i="1"/>
  <c r="CT14" i="1"/>
  <c r="DG14" i="1"/>
  <c r="CT263" i="1"/>
  <c r="DG263" i="1"/>
  <c r="CT225" i="1"/>
  <c r="DG225" i="1"/>
  <c r="CT81" i="1"/>
  <c r="DG81" i="1"/>
  <c r="CT72" i="1"/>
  <c r="DG72" i="1"/>
  <c r="CT204" i="1"/>
  <c r="DG204" i="1"/>
  <c r="CT150" i="1"/>
  <c r="DG150" i="1"/>
  <c r="CT173" i="1"/>
  <c r="DG173" i="1"/>
  <c r="CT226" i="1"/>
  <c r="DG226" i="1"/>
  <c r="CT138" i="1"/>
  <c r="DG138" i="1"/>
  <c r="CT52" i="1"/>
  <c r="DG52" i="1"/>
  <c r="CT175" i="1"/>
  <c r="DG175" i="1"/>
  <c r="CT140" i="1"/>
  <c r="DG140" i="1"/>
  <c r="CT66" i="1"/>
  <c r="DG66" i="1"/>
  <c r="CT194" i="1"/>
  <c r="DG194" i="1"/>
  <c r="CT252" i="1"/>
  <c r="DG252" i="1"/>
  <c r="CT270" i="1"/>
  <c r="DG270" i="1"/>
  <c r="CT43" i="1"/>
  <c r="DG43" i="1"/>
  <c r="CT235" i="1"/>
  <c r="DG235" i="1"/>
  <c r="CT196" i="1"/>
  <c r="DG196" i="1"/>
  <c r="CT27" i="1"/>
  <c r="DG27" i="1"/>
  <c r="CT265" i="1"/>
  <c r="DG265" i="1"/>
  <c r="CT114" i="1"/>
  <c r="DG114" i="1"/>
  <c r="CT22" i="1"/>
  <c r="DG22" i="1"/>
  <c r="CT100" i="1"/>
  <c r="DG100" i="1"/>
  <c r="CT8" i="1"/>
  <c r="DG8" i="1"/>
  <c r="CT144" i="1"/>
  <c r="DG144" i="1"/>
  <c r="CT71" i="1"/>
  <c r="DG71" i="1"/>
  <c r="CT269" i="1"/>
  <c r="DG269" i="1"/>
  <c r="CT255" i="1"/>
  <c r="DG255" i="1"/>
  <c r="CT25" i="1"/>
  <c r="DG25" i="1"/>
  <c r="CT192" i="1"/>
  <c r="DG192" i="1"/>
  <c r="CT216" i="1"/>
  <c r="DG216" i="1"/>
  <c r="CT105" i="1"/>
  <c r="DG105" i="1"/>
  <c r="CT108" i="1"/>
  <c r="DG108" i="1"/>
  <c r="CT82" i="1"/>
  <c r="DG82" i="1"/>
  <c r="CT50" i="1"/>
  <c r="DG50" i="1"/>
  <c r="CT123" i="1"/>
  <c r="DG123" i="1"/>
  <c r="CT45" i="1"/>
  <c r="DG45" i="1"/>
  <c r="CT148" i="1"/>
  <c r="DG148" i="1"/>
  <c r="CT253" i="1"/>
  <c r="DG253" i="1"/>
  <c r="CT244" i="1"/>
  <c r="DG244" i="1"/>
  <c r="CT125" i="1"/>
  <c r="DG125" i="1"/>
  <c r="CT121" i="1"/>
  <c r="DG121" i="1"/>
  <c r="CT185" i="1"/>
  <c r="DG185" i="1"/>
  <c r="CT70" i="1"/>
  <c r="DG70" i="1"/>
  <c r="CT146" i="1"/>
  <c r="DG146" i="1"/>
  <c r="CT78" i="1"/>
  <c r="DG78" i="1"/>
  <c r="CT205" i="1"/>
  <c r="DG205" i="1"/>
  <c r="CT19" i="1"/>
  <c r="DG19" i="1"/>
  <c r="CT187" i="1"/>
  <c r="DG187" i="1"/>
  <c r="CT17" i="1"/>
  <c r="DG17" i="1"/>
  <c r="CT94" i="1"/>
  <c r="DG94" i="1"/>
  <c r="CT80" i="1"/>
  <c r="DG80" i="1"/>
  <c r="CT39" i="1"/>
  <c r="DG39" i="1"/>
  <c r="CT193" i="1"/>
  <c r="DG193" i="1"/>
  <c r="CT220" i="1"/>
  <c r="DG220" i="1"/>
  <c r="CT89" i="1"/>
  <c r="DG89" i="1"/>
  <c r="CT254" i="1"/>
  <c r="DG254" i="1"/>
  <c r="CT51" i="1"/>
  <c r="DG51" i="1"/>
  <c r="CT266" i="1"/>
  <c r="DG266" i="1"/>
  <c r="CT130" i="1"/>
  <c r="DG130" i="1"/>
  <c r="CT101" i="1"/>
  <c r="DG101" i="1"/>
  <c r="CT64" i="1"/>
  <c r="DG64" i="1"/>
  <c r="CT85" i="1"/>
  <c r="DG85" i="1"/>
  <c r="CT257" i="1"/>
  <c r="DG257" i="1"/>
  <c r="CT26" i="1"/>
  <c r="DG26" i="1"/>
  <c r="CT264" i="1"/>
  <c r="DG264" i="1"/>
  <c r="CT236" i="1"/>
  <c r="DG236" i="1"/>
  <c r="CT55" i="1"/>
  <c r="DG55" i="1"/>
  <c r="CT77" i="1"/>
  <c r="DG77" i="1"/>
  <c r="CT231" i="1"/>
  <c r="DG231" i="1"/>
  <c r="CT162" i="1"/>
  <c r="DG162" i="1"/>
  <c r="CT249" i="1"/>
  <c r="DG249" i="1"/>
  <c r="CT171" i="1"/>
  <c r="DG171" i="1"/>
  <c r="CT63" i="1"/>
  <c r="DG63" i="1"/>
  <c r="CT139" i="1"/>
  <c r="DG139" i="1"/>
  <c r="CT48" i="1"/>
  <c r="DG48" i="1"/>
  <c r="CT10" i="1"/>
  <c r="DG10" i="1"/>
  <c r="CT34" i="1"/>
  <c r="DG34" i="1"/>
  <c r="CT242" i="1"/>
  <c r="DG242" i="1"/>
  <c r="CT178" i="1"/>
  <c r="DG178" i="1"/>
  <c r="CT21" i="1"/>
  <c r="DG21" i="1"/>
  <c r="CT12" i="1"/>
  <c r="DG12" i="1"/>
  <c r="CT30" i="1"/>
  <c r="DG30" i="1"/>
  <c r="CT246" i="1"/>
  <c r="DG246" i="1"/>
  <c r="CT31" i="1"/>
  <c r="DG31" i="1"/>
  <c r="CT102" i="1"/>
  <c r="DG102" i="1"/>
  <c r="CT33" i="1"/>
  <c r="DG33" i="1"/>
  <c r="CT32" i="1"/>
  <c r="DG32" i="1"/>
  <c r="CT131" i="1"/>
  <c r="DG131" i="1"/>
  <c r="CT9" i="1"/>
  <c r="DG9" i="1"/>
  <c r="CT62" i="1"/>
  <c r="DG62" i="1"/>
  <c r="CT119" i="1"/>
  <c r="DG119" i="1"/>
  <c r="CT23" i="1"/>
  <c r="DG23" i="1"/>
  <c r="CT57" i="1"/>
  <c r="DG57" i="1"/>
  <c r="CT200" i="1"/>
  <c r="DG200" i="1"/>
  <c r="CT68" i="1"/>
  <c r="DG68" i="1"/>
  <c r="CT199" i="1"/>
  <c r="DG199" i="1"/>
  <c r="CT107" i="1"/>
  <c r="DG107" i="1"/>
  <c r="CT165" i="1"/>
  <c r="DG165" i="1"/>
  <c r="CT183" i="1"/>
  <c r="DG183" i="1"/>
  <c r="CT197" i="1"/>
  <c r="DG197" i="1"/>
  <c r="CT129" i="1"/>
  <c r="DG129" i="1"/>
  <c r="CT158" i="1"/>
  <c r="DG158" i="1"/>
  <c r="CT203" i="1"/>
  <c r="DG203" i="1"/>
  <c r="CT141" i="1"/>
  <c r="DG141" i="1"/>
  <c r="CT41" i="1"/>
  <c r="DG41" i="1"/>
  <c r="CT169" i="1"/>
  <c r="DG169" i="1"/>
  <c r="CT224" i="1"/>
  <c r="DG224" i="1"/>
  <c r="CT137" i="1"/>
  <c r="DG137" i="1"/>
  <c r="CT223" i="1"/>
  <c r="DG223" i="1"/>
  <c r="CT164" i="1"/>
  <c r="DG164" i="1"/>
  <c r="CT44" i="1"/>
  <c r="DG44" i="1"/>
  <c r="CT168" i="1"/>
  <c r="DG168" i="1"/>
  <c r="CT259" i="1"/>
  <c r="DG259" i="1"/>
  <c r="CT163" i="1"/>
  <c r="DG163" i="1"/>
  <c r="CT115" i="1"/>
  <c r="DG115" i="1"/>
  <c r="CT20" i="1"/>
  <c r="DG20" i="1"/>
  <c r="CT155" i="1"/>
  <c r="DG155" i="1"/>
  <c r="CT74" i="1"/>
  <c r="DG74" i="1"/>
  <c r="CT219" i="1"/>
  <c r="DG219" i="1"/>
  <c r="CT69" i="1"/>
  <c r="DG69" i="1"/>
  <c r="CT109" i="1"/>
  <c r="DG109" i="1"/>
  <c r="CT154" i="1"/>
  <c r="DG154" i="1"/>
  <c r="CT87" i="1"/>
  <c r="DG87" i="1"/>
  <c r="CT92" i="1"/>
  <c r="DG92" i="1"/>
  <c r="CT166" i="1"/>
  <c r="DG166" i="1"/>
  <c r="CT86" i="1"/>
  <c r="DG86" i="1"/>
  <c r="CT111" i="1"/>
  <c r="DG111" i="1"/>
  <c r="CT58" i="1"/>
  <c r="DG58" i="1"/>
  <c r="CT53" i="1"/>
  <c r="DG53" i="1"/>
  <c r="CT186" i="1"/>
  <c r="DG186" i="1"/>
  <c r="CT136" i="1"/>
  <c r="DG136" i="1"/>
  <c r="CT208" i="1"/>
  <c r="DG208" i="1"/>
  <c r="CT93" i="1"/>
  <c r="DG93" i="1"/>
  <c r="CT256" i="1"/>
  <c r="DG256" i="1"/>
  <c r="CT189" i="1"/>
  <c r="DG189" i="1"/>
  <c r="CT238" i="1"/>
  <c r="DG238" i="1"/>
  <c r="CT28" i="1"/>
  <c r="DG28" i="1"/>
  <c r="CT230" i="1"/>
  <c r="DG230" i="1"/>
  <c r="CT147" i="1"/>
  <c r="DG147" i="1"/>
  <c r="CT88" i="1"/>
  <c r="DG88" i="1"/>
  <c r="CT240" i="1"/>
  <c r="DG240" i="1"/>
  <c r="CT145" i="1"/>
  <c r="DG145" i="1"/>
  <c r="CT91" i="1"/>
  <c r="DG91" i="1"/>
  <c r="CT59" i="1"/>
  <c r="DG59" i="1"/>
  <c r="CT152" i="1"/>
  <c r="DG152" i="1"/>
  <c r="CT46" i="1"/>
  <c r="DG46" i="1"/>
  <c r="CT122" i="1"/>
  <c r="DG122" i="1"/>
  <c r="CT99" i="1"/>
  <c r="DG99" i="1"/>
  <c r="CT241" i="1"/>
  <c r="DG241" i="1"/>
  <c r="CT229" i="1"/>
  <c r="DG229" i="1"/>
  <c r="CT215" i="1"/>
  <c r="DG215" i="1"/>
  <c r="CT239" i="1"/>
  <c r="DG239" i="1"/>
  <c r="CT16" i="1"/>
  <c r="DG16" i="1"/>
  <c r="CT24" i="1"/>
  <c r="DG24" i="1"/>
  <c r="CT184" i="1"/>
  <c r="DG184" i="1"/>
  <c r="CT221" i="1"/>
  <c r="DG221" i="1"/>
  <c r="CT261" i="1"/>
  <c r="DG261" i="1"/>
  <c r="CT47" i="1"/>
  <c r="DG47" i="1"/>
  <c r="CT247" i="1"/>
  <c r="DG247" i="1"/>
  <c r="CT56" i="1"/>
  <c r="DG56" i="1"/>
  <c r="CT234" i="1"/>
  <c r="DG234" i="1"/>
  <c r="CT198" i="1"/>
  <c r="DG198" i="1"/>
  <c r="CT35" i="1"/>
  <c r="DG35" i="1"/>
  <c r="CT181" i="1"/>
  <c r="DG181" i="1"/>
  <c r="CT151" i="1"/>
  <c r="DG151" i="1"/>
  <c r="CT156" i="1"/>
  <c r="DG156" i="1"/>
  <c r="CT177" i="1"/>
  <c r="DG177" i="1"/>
  <c r="CT49" i="1"/>
  <c r="DG49" i="1"/>
  <c r="CT251" i="1"/>
  <c r="DG251" i="1"/>
  <c r="CT202" i="1"/>
  <c r="DG202" i="1"/>
  <c r="CT190" i="1"/>
  <c r="DG190" i="1"/>
  <c r="CT172" i="1"/>
  <c r="DG172" i="1"/>
  <c r="CT104" i="1"/>
  <c r="DG104" i="1"/>
  <c r="CT206" i="1"/>
  <c r="DG206" i="1"/>
  <c r="CT182" i="1"/>
  <c r="DG182" i="1"/>
  <c r="CT160" i="1"/>
  <c r="DG160" i="1"/>
  <c r="CT40" i="1"/>
  <c r="DG40" i="1"/>
  <c r="CT267" i="1"/>
  <c r="DG267" i="1"/>
  <c r="CZ20" i="1"/>
  <c r="DA20" i="1"/>
  <c r="CX20" i="1"/>
  <c r="CY20" i="1"/>
  <c r="DB20" i="1"/>
  <c r="DC20" i="1"/>
  <c r="CX219" i="1"/>
  <c r="DB219" i="1"/>
  <c r="CZ219" i="1"/>
  <c r="DA219" i="1"/>
  <c r="DC219" i="1"/>
  <c r="CY219" i="1"/>
  <c r="CZ154" i="1"/>
  <c r="DA154" i="1"/>
  <c r="DB154" i="1"/>
  <c r="CX154" i="1"/>
  <c r="DC154" i="1"/>
  <c r="CY154" i="1"/>
  <c r="CX92" i="1"/>
  <c r="DB92" i="1"/>
  <c r="CY92" i="1"/>
  <c r="DC92" i="1"/>
  <c r="CZ92" i="1"/>
  <c r="DA92" i="1"/>
  <c r="CX111" i="1"/>
  <c r="DB111" i="1"/>
  <c r="DA111" i="1"/>
  <c r="DC111" i="1"/>
  <c r="CY111" i="1"/>
  <c r="CZ111" i="1"/>
  <c r="CX53" i="1"/>
  <c r="DB53" i="1"/>
  <c r="CY53" i="1"/>
  <c r="DC53" i="1"/>
  <c r="CZ53" i="1"/>
  <c r="DA53" i="1"/>
  <c r="CZ136" i="1"/>
  <c r="DA136" i="1"/>
  <c r="DB136" i="1"/>
  <c r="CX136" i="1"/>
  <c r="DC136" i="1"/>
  <c r="CY136" i="1"/>
  <c r="CZ256" i="1"/>
  <c r="DB256" i="1"/>
  <c r="CX256" i="1"/>
  <c r="DC256" i="1"/>
  <c r="CY256" i="1"/>
  <c r="DA256" i="1"/>
  <c r="CZ28" i="1"/>
  <c r="DA28" i="1"/>
  <c r="CX28" i="1"/>
  <c r="DC28" i="1"/>
  <c r="CY28" i="1"/>
  <c r="DB28" i="1"/>
  <c r="CX147" i="1"/>
  <c r="DB147" i="1"/>
  <c r="CY147" i="1"/>
  <c r="CZ147" i="1"/>
  <c r="DA147" i="1"/>
  <c r="DC147" i="1"/>
  <c r="CX145" i="1"/>
  <c r="DB145" i="1"/>
  <c r="CZ145" i="1"/>
  <c r="DA145" i="1"/>
  <c r="DC145" i="1"/>
  <c r="CY145" i="1"/>
  <c r="CX59" i="1"/>
  <c r="DB59" i="1"/>
  <c r="CY59" i="1"/>
  <c r="DC59" i="1"/>
  <c r="CZ59" i="1"/>
  <c r="DA59" i="1"/>
  <c r="CZ122" i="1"/>
  <c r="CY122" i="1"/>
  <c r="DA122" i="1"/>
  <c r="DB122" i="1"/>
  <c r="CX122" i="1"/>
  <c r="DC122" i="1"/>
  <c r="CX241" i="1"/>
  <c r="DB241" i="1"/>
  <c r="DA241" i="1"/>
  <c r="CY241" i="1"/>
  <c r="DC241" i="1"/>
  <c r="CZ241" i="1"/>
  <c r="CX239" i="1"/>
  <c r="DB239" i="1"/>
  <c r="DC239" i="1"/>
  <c r="CZ239" i="1"/>
  <c r="CY239" i="1"/>
  <c r="DA239" i="1"/>
  <c r="CZ184" i="1"/>
  <c r="DB184" i="1"/>
  <c r="CX184" i="1"/>
  <c r="DC184" i="1"/>
  <c r="CY184" i="1"/>
  <c r="DA184" i="1"/>
  <c r="CZ130" i="1"/>
  <c r="CY130" i="1"/>
  <c r="DA130" i="1"/>
  <c r="DB130" i="1"/>
  <c r="DC130" i="1"/>
  <c r="CX130" i="1"/>
  <c r="CZ64" i="1"/>
  <c r="DA64" i="1"/>
  <c r="CX64" i="1"/>
  <c r="DB64" i="1"/>
  <c r="DC64" i="1"/>
  <c r="CY64" i="1"/>
  <c r="CX257" i="1"/>
  <c r="DB257" i="1"/>
  <c r="DA257" i="1"/>
  <c r="CY257" i="1"/>
  <c r="DC257" i="1"/>
  <c r="CZ257" i="1"/>
  <c r="CX264" i="1"/>
  <c r="DB264" i="1"/>
  <c r="DA264" i="1"/>
  <c r="DC264" i="1"/>
  <c r="CY264" i="1"/>
  <c r="CZ264" i="1"/>
  <c r="CX77" i="1"/>
  <c r="DB77" i="1"/>
  <c r="DC77" i="1"/>
  <c r="CY77" i="1"/>
  <c r="CZ77" i="1"/>
  <c r="DA77" i="1"/>
  <c r="CZ162" i="1"/>
  <c r="DA162" i="1"/>
  <c r="DB162" i="1"/>
  <c r="CX162" i="1"/>
  <c r="DC162" i="1"/>
  <c r="CY162" i="1"/>
  <c r="CX171" i="1"/>
  <c r="DB171" i="1"/>
  <c r="CY171" i="1"/>
  <c r="DC171" i="1"/>
  <c r="CZ171" i="1"/>
  <c r="DA171" i="1"/>
  <c r="CX63" i="1"/>
  <c r="DB63" i="1"/>
  <c r="CY63" i="1"/>
  <c r="DC63" i="1"/>
  <c r="CZ63" i="1"/>
  <c r="DA63" i="1"/>
  <c r="CZ48" i="1"/>
  <c r="DA48" i="1"/>
  <c r="CX48" i="1"/>
  <c r="DB48" i="1"/>
  <c r="DC48" i="1"/>
  <c r="CY48" i="1"/>
  <c r="CW10" i="1"/>
  <c r="CZ10" i="1"/>
  <c r="DA10" i="1"/>
  <c r="DB10" i="1"/>
  <c r="CX10" i="1"/>
  <c r="CY10" i="1"/>
  <c r="DC10" i="1"/>
  <c r="CZ34" i="1"/>
  <c r="DA34" i="1"/>
  <c r="DB34" i="1"/>
  <c r="CY34" i="1"/>
  <c r="DC34" i="1"/>
  <c r="CX34" i="1"/>
  <c r="DE242" i="1"/>
  <c r="CZ242" i="1"/>
  <c r="DA242" i="1"/>
  <c r="DC242" i="1"/>
  <c r="DB242" i="1"/>
  <c r="CX242" i="1"/>
  <c r="CY242" i="1"/>
  <c r="CZ178" i="1"/>
  <c r="DA178" i="1"/>
  <c r="CX178" i="1"/>
  <c r="DC178" i="1"/>
  <c r="DB178" i="1"/>
  <c r="CY178" i="1"/>
  <c r="CZ116" i="1"/>
  <c r="CX116" i="1"/>
  <c r="DC116" i="1"/>
  <c r="CY116" i="1"/>
  <c r="DA116" i="1"/>
  <c r="DB116" i="1"/>
  <c r="CX21" i="1"/>
  <c r="DB21" i="1"/>
  <c r="CY21" i="1"/>
  <c r="DC21" i="1"/>
  <c r="CZ21" i="1"/>
  <c r="DA21" i="1"/>
  <c r="CZ218" i="1"/>
  <c r="DA218" i="1"/>
  <c r="DC218" i="1"/>
  <c r="DB218" i="1"/>
  <c r="CX218" i="1"/>
  <c r="CY218" i="1"/>
  <c r="CZ12" i="1"/>
  <c r="DA12" i="1"/>
  <c r="CX12" i="1"/>
  <c r="DC12" i="1"/>
  <c r="CY12" i="1"/>
  <c r="DB12" i="1"/>
  <c r="CZ260" i="1"/>
  <c r="CY260" i="1"/>
  <c r="DB260" i="1"/>
  <c r="DA260" i="1"/>
  <c r="DC260" i="1"/>
  <c r="CX260" i="1"/>
  <c r="CZ30" i="1"/>
  <c r="DA30" i="1"/>
  <c r="DB30" i="1"/>
  <c r="DC30" i="1"/>
  <c r="CX30" i="1"/>
  <c r="CY30" i="1"/>
  <c r="CX159" i="1"/>
  <c r="DB159" i="1"/>
  <c r="CY159" i="1"/>
  <c r="DC159" i="1"/>
  <c r="CZ159" i="1"/>
  <c r="DA159" i="1"/>
  <c r="CZ270" i="1"/>
  <c r="DB270" i="1"/>
  <c r="CX270" i="1"/>
  <c r="DC270" i="1"/>
  <c r="CY270" i="1"/>
  <c r="DA270" i="1"/>
  <c r="CZ246" i="1"/>
  <c r="CX246" i="1"/>
  <c r="DC246" i="1"/>
  <c r="DA246" i="1"/>
  <c r="CY246" i="1"/>
  <c r="DB246" i="1"/>
  <c r="CX201" i="1"/>
  <c r="DB201" i="1"/>
  <c r="DA201" i="1"/>
  <c r="DC201" i="1"/>
  <c r="CY201" i="1"/>
  <c r="CZ201" i="1"/>
  <c r="CX31" i="1"/>
  <c r="DB31" i="1"/>
  <c r="CY31" i="1"/>
  <c r="DC31" i="1"/>
  <c r="CZ31" i="1"/>
  <c r="DA31" i="1"/>
  <c r="CX15" i="1"/>
  <c r="DB15" i="1"/>
  <c r="CY15" i="1"/>
  <c r="DC15" i="1"/>
  <c r="CZ15" i="1"/>
  <c r="DA15" i="1"/>
  <c r="CX43" i="1"/>
  <c r="DB43" i="1"/>
  <c r="CY43" i="1"/>
  <c r="DC43" i="1"/>
  <c r="CZ43" i="1"/>
  <c r="DA43" i="1"/>
  <c r="CZ102" i="1"/>
  <c r="DB102" i="1"/>
  <c r="CX102" i="1"/>
  <c r="DC102" i="1"/>
  <c r="CY102" i="1"/>
  <c r="DA102" i="1"/>
  <c r="CX217" i="1"/>
  <c r="DB217" i="1"/>
  <c r="DA217" i="1"/>
  <c r="CY217" i="1"/>
  <c r="DC217" i="1"/>
  <c r="CZ217" i="1"/>
  <c r="CX235" i="1"/>
  <c r="DB235" i="1"/>
  <c r="CZ235" i="1"/>
  <c r="DC235" i="1"/>
  <c r="DA235" i="1"/>
  <c r="CY235" i="1"/>
  <c r="CX33" i="1"/>
  <c r="DB33" i="1"/>
  <c r="CY33" i="1"/>
  <c r="DC33" i="1"/>
  <c r="CZ33" i="1"/>
  <c r="DA33" i="1"/>
  <c r="CX157" i="1"/>
  <c r="DB157" i="1"/>
  <c r="CY157" i="1"/>
  <c r="DC157" i="1"/>
  <c r="CZ157" i="1"/>
  <c r="DA157" i="1"/>
  <c r="CZ196" i="1"/>
  <c r="CY196" i="1"/>
  <c r="DA196" i="1"/>
  <c r="DB196" i="1"/>
  <c r="DC196" i="1"/>
  <c r="CX196" i="1"/>
  <c r="CZ32" i="1"/>
  <c r="DA32" i="1"/>
  <c r="CX32" i="1"/>
  <c r="DB32" i="1"/>
  <c r="DC32" i="1"/>
  <c r="CY32" i="1"/>
  <c r="CZ191" i="1"/>
  <c r="DB191" i="1"/>
  <c r="CX191" i="1"/>
  <c r="DC191" i="1"/>
  <c r="CY191" i="1"/>
  <c r="DA191" i="1"/>
  <c r="CX27" i="1"/>
  <c r="DB27" i="1"/>
  <c r="CY27" i="1"/>
  <c r="DC27" i="1"/>
  <c r="CZ27" i="1"/>
  <c r="DA27" i="1"/>
  <c r="CX131" i="1"/>
  <c r="DB131" i="1"/>
  <c r="CY131" i="1"/>
  <c r="CZ131" i="1"/>
  <c r="DA131" i="1"/>
  <c r="DC131" i="1"/>
  <c r="CZ214" i="1"/>
  <c r="CX214" i="1"/>
  <c r="DC214" i="1"/>
  <c r="CY214" i="1"/>
  <c r="DA214" i="1"/>
  <c r="DB214" i="1"/>
  <c r="CX9" i="1"/>
  <c r="DB9" i="1"/>
  <c r="CY9" i="1"/>
  <c r="DC9" i="1"/>
  <c r="CZ9" i="1"/>
  <c r="DA9" i="1"/>
  <c r="CZ265" i="1"/>
  <c r="DA265" i="1"/>
  <c r="CX265" i="1"/>
  <c r="DB265" i="1"/>
  <c r="DC265" i="1"/>
  <c r="CY265" i="1"/>
  <c r="CX61" i="1"/>
  <c r="DB61" i="1"/>
  <c r="CY61" i="1"/>
  <c r="DC61" i="1"/>
  <c r="CZ61" i="1"/>
  <c r="DA61" i="1"/>
  <c r="CZ62" i="1"/>
  <c r="DA62" i="1"/>
  <c r="DB62" i="1"/>
  <c r="DC62" i="1"/>
  <c r="CX62" i="1"/>
  <c r="CY62" i="1"/>
  <c r="CX65" i="1"/>
  <c r="DB65" i="1"/>
  <c r="CY65" i="1"/>
  <c r="DC65" i="1"/>
  <c r="CZ65" i="1"/>
  <c r="DA65" i="1"/>
  <c r="CX114" i="1"/>
  <c r="DB114" i="1"/>
  <c r="DA114" i="1"/>
  <c r="DC114" i="1"/>
  <c r="CY114" i="1"/>
  <c r="CZ114" i="1"/>
  <c r="CX245" i="1"/>
  <c r="DB245" i="1"/>
  <c r="CY245" i="1"/>
  <c r="CZ245" i="1"/>
  <c r="DA245" i="1"/>
  <c r="DC245" i="1"/>
  <c r="CX119" i="1"/>
  <c r="DB119" i="1"/>
  <c r="DA119" i="1"/>
  <c r="DC119" i="1"/>
  <c r="CY119" i="1"/>
  <c r="CZ119" i="1"/>
  <c r="CZ128" i="1"/>
  <c r="DA128" i="1"/>
  <c r="DB128" i="1"/>
  <c r="DC128" i="1"/>
  <c r="CX128" i="1"/>
  <c r="CY128" i="1"/>
  <c r="CX23" i="1"/>
  <c r="DB23" i="1"/>
  <c r="CY23" i="1"/>
  <c r="DC23" i="1"/>
  <c r="DA23" i="1"/>
  <c r="CZ23" i="1"/>
  <c r="CX207" i="1"/>
  <c r="DB207" i="1"/>
  <c r="DC207" i="1"/>
  <c r="CZ207" i="1"/>
  <c r="CY207" i="1"/>
  <c r="DA207" i="1"/>
  <c r="CZ22" i="1"/>
  <c r="DA22" i="1"/>
  <c r="DB22" i="1"/>
  <c r="CX22" i="1"/>
  <c r="CY22" i="1"/>
  <c r="DC22" i="1"/>
  <c r="CX57" i="1"/>
  <c r="DB57" i="1"/>
  <c r="CY57" i="1"/>
  <c r="DC57" i="1"/>
  <c r="CZ57" i="1"/>
  <c r="DA57" i="1"/>
  <c r="CX167" i="1"/>
  <c r="DB167" i="1"/>
  <c r="CY167" i="1"/>
  <c r="DC167" i="1"/>
  <c r="CZ167" i="1"/>
  <c r="DA167" i="1"/>
  <c r="CZ200" i="1"/>
  <c r="DB200" i="1"/>
  <c r="CY200" i="1"/>
  <c r="CX200" i="1"/>
  <c r="DC200" i="1"/>
  <c r="DA200" i="1"/>
  <c r="CZ100" i="1"/>
  <c r="CX100" i="1"/>
  <c r="DC100" i="1"/>
  <c r="CY100" i="1"/>
  <c r="DA100" i="1"/>
  <c r="DB100" i="1"/>
  <c r="CX261" i="1"/>
  <c r="DB261" i="1"/>
  <c r="CY261" i="1"/>
  <c r="CZ261" i="1"/>
  <c r="DA261" i="1"/>
  <c r="DC261" i="1"/>
  <c r="CX47" i="1"/>
  <c r="DB47" i="1"/>
  <c r="CY47" i="1"/>
  <c r="DC47" i="1"/>
  <c r="CZ47" i="1"/>
  <c r="DA47" i="1"/>
  <c r="CX247" i="1"/>
  <c r="DB247" i="1"/>
  <c r="DC247" i="1"/>
  <c r="CY247" i="1"/>
  <c r="CZ247" i="1"/>
  <c r="DA247" i="1"/>
  <c r="CZ56" i="1"/>
  <c r="DA56" i="1"/>
  <c r="CX56" i="1"/>
  <c r="CY56" i="1"/>
  <c r="DB56" i="1"/>
  <c r="DC56" i="1"/>
  <c r="CZ234" i="1"/>
  <c r="DA234" i="1"/>
  <c r="CX234" i="1"/>
  <c r="DB234" i="1"/>
  <c r="DC234" i="1"/>
  <c r="CY234" i="1"/>
  <c r="CZ198" i="1"/>
  <c r="CX198" i="1"/>
  <c r="DC198" i="1"/>
  <c r="DA198" i="1"/>
  <c r="CY198" i="1"/>
  <c r="DB198" i="1"/>
  <c r="CX35" i="1"/>
  <c r="DB35" i="1"/>
  <c r="DC35" i="1"/>
  <c r="CZ35" i="1"/>
  <c r="CY35" i="1"/>
  <c r="DA35" i="1"/>
  <c r="CX181" i="1"/>
  <c r="DB181" i="1"/>
  <c r="CY181" i="1"/>
  <c r="DA181" i="1"/>
  <c r="CZ181" i="1"/>
  <c r="DC181" i="1"/>
  <c r="CZ151" i="1"/>
  <c r="DA151" i="1"/>
  <c r="DB151" i="1"/>
  <c r="CX151" i="1"/>
  <c r="DC151" i="1"/>
  <c r="CY151" i="1"/>
  <c r="CZ156" i="1"/>
  <c r="DA156" i="1"/>
  <c r="CX156" i="1"/>
  <c r="DB156" i="1"/>
  <c r="CY156" i="1"/>
  <c r="DC156" i="1"/>
  <c r="CX177" i="1"/>
  <c r="DB177" i="1"/>
  <c r="CY177" i="1"/>
  <c r="DC177" i="1"/>
  <c r="CZ177" i="1"/>
  <c r="DA177" i="1"/>
  <c r="CX49" i="1"/>
  <c r="DB49" i="1"/>
  <c r="CY49" i="1"/>
  <c r="DC49" i="1"/>
  <c r="CZ49" i="1"/>
  <c r="DA49" i="1"/>
  <c r="CX251" i="1"/>
  <c r="DB251" i="1"/>
  <c r="CZ251" i="1"/>
  <c r="DC251" i="1"/>
  <c r="DA251" i="1"/>
  <c r="CY251" i="1"/>
  <c r="CX202" i="1"/>
  <c r="DB202" i="1"/>
  <c r="DC202" i="1"/>
  <c r="CZ202" i="1"/>
  <c r="CY202" i="1"/>
  <c r="DA202" i="1"/>
  <c r="CZ190" i="1"/>
  <c r="CX190" i="1"/>
  <c r="DC190" i="1"/>
  <c r="DA190" i="1"/>
  <c r="CY190" i="1"/>
  <c r="DB190" i="1"/>
  <c r="CV172" i="1"/>
  <c r="CZ172" i="1"/>
  <c r="DA172" i="1"/>
  <c r="CX172" i="1"/>
  <c r="DB172" i="1"/>
  <c r="CY172" i="1"/>
  <c r="DC172" i="1"/>
  <c r="CZ104" i="1"/>
  <c r="DA104" i="1"/>
  <c r="DB104" i="1"/>
  <c r="CX104" i="1"/>
  <c r="DC104" i="1"/>
  <c r="CY104" i="1"/>
  <c r="CZ206" i="1"/>
  <c r="CX206" i="1"/>
  <c r="DC206" i="1"/>
  <c r="CY206" i="1"/>
  <c r="DA206" i="1"/>
  <c r="DB206" i="1"/>
  <c r="DD182" i="1"/>
  <c r="CZ182" i="1"/>
  <c r="CX182" i="1"/>
  <c r="DC182" i="1"/>
  <c r="DA182" i="1"/>
  <c r="CY182" i="1"/>
  <c r="DB182" i="1"/>
  <c r="CZ160" i="1"/>
  <c r="DA160" i="1"/>
  <c r="CX160" i="1"/>
  <c r="DB160" i="1"/>
  <c r="CY160" i="1"/>
  <c r="DC160" i="1"/>
  <c r="DE40" i="1"/>
  <c r="CZ40" i="1"/>
  <c r="DA40" i="1"/>
  <c r="CX40" i="1"/>
  <c r="CY40" i="1"/>
  <c r="DB40" i="1"/>
  <c r="DC40" i="1"/>
  <c r="CZ267" i="1"/>
  <c r="CY267" i="1"/>
  <c r="DA267" i="1"/>
  <c r="DB267" i="1"/>
  <c r="CX267" i="1"/>
  <c r="DC267" i="1"/>
  <c r="CZ155" i="1"/>
  <c r="CY155" i="1"/>
  <c r="DB155" i="1"/>
  <c r="DA155" i="1"/>
  <c r="DC155" i="1"/>
  <c r="CX155" i="1"/>
  <c r="CX109" i="1"/>
  <c r="DB109" i="1"/>
  <c r="DC109" i="1"/>
  <c r="CY109" i="1"/>
  <c r="CZ109" i="1"/>
  <c r="DA109" i="1"/>
  <c r="CZ166" i="1"/>
  <c r="DA166" i="1"/>
  <c r="DB166" i="1"/>
  <c r="CX166" i="1"/>
  <c r="DC166" i="1"/>
  <c r="CY166" i="1"/>
  <c r="CZ208" i="1"/>
  <c r="DB208" i="1"/>
  <c r="CX208" i="1"/>
  <c r="DC208" i="1"/>
  <c r="CY208" i="1"/>
  <c r="DA208" i="1"/>
  <c r="CZ238" i="1"/>
  <c r="CX238" i="1"/>
  <c r="DC238" i="1"/>
  <c r="CY238" i="1"/>
  <c r="DA238" i="1"/>
  <c r="DB238" i="1"/>
  <c r="CZ240" i="1"/>
  <c r="DB240" i="1"/>
  <c r="CX240" i="1"/>
  <c r="DC240" i="1"/>
  <c r="CY240" i="1"/>
  <c r="DA240" i="1"/>
  <c r="CX152" i="1"/>
  <c r="DB152" i="1"/>
  <c r="CY152" i="1"/>
  <c r="DC152" i="1"/>
  <c r="CZ152" i="1"/>
  <c r="DA152" i="1"/>
  <c r="CX229" i="1"/>
  <c r="DB229" i="1"/>
  <c r="CY229" i="1"/>
  <c r="CZ229" i="1"/>
  <c r="DA229" i="1"/>
  <c r="DC229" i="1"/>
  <c r="CZ16" i="1"/>
  <c r="DA16" i="1"/>
  <c r="CX16" i="1"/>
  <c r="DB16" i="1"/>
  <c r="DC16" i="1"/>
  <c r="CY16" i="1"/>
  <c r="CX51" i="1"/>
  <c r="DB51" i="1"/>
  <c r="CY51" i="1"/>
  <c r="DC51" i="1"/>
  <c r="CZ51" i="1"/>
  <c r="DA51" i="1"/>
  <c r="DB101" i="1"/>
  <c r="DC101" i="1"/>
  <c r="CZ236" i="1"/>
  <c r="CY236" i="1"/>
  <c r="DA236" i="1"/>
  <c r="DB236" i="1"/>
  <c r="CX236" i="1"/>
  <c r="DC236" i="1"/>
  <c r="CX237" i="1"/>
  <c r="DB237" i="1"/>
  <c r="CY237" i="1"/>
  <c r="DA237" i="1"/>
  <c r="CZ237" i="1"/>
  <c r="DC237" i="1"/>
  <c r="CZ76" i="1"/>
  <c r="CX76" i="1"/>
  <c r="DC76" i="1"/>
  <c r="CY76" i="1"/>
  <c r="DA76" i="1"/>
  <c r="DB76" i="1"/>
  <c r="CZ248" i="1"/>
  <c r="DB248" i="1"/>
  <c r="CY248" i="1"/>
  <c r="CX248" i="1"/>
  <c r="DC248" i="1"/>
  <c r="DA248" i="1"/>
  <c r="CZ96" i="1"/>
  <c r="DA96" i="1"/>
  <c r="DB96" i="1"/>
  <c r="DC96" i="1"/>
  <c r="CX96" i="1"/>
  <c r="CY96" i="1"/>
  <c r="CZ153" i="1"/>
  <c r="CX153" i="1"/>
  <c r="DC153" i="1"/>
  <c r="CY153" i="1"/>
  <c r="DA153" i="1"/>
  <c r="DB153" i="1"/>
  <c r="CX73" i="1"/>
  <c r="DB73" i="1"/>
  <c r="CZ73" i="1"/>
  <c r="DA73" i="1"/>
  <c r="DC73" i="1"/>
  <c r="CY73" i="1"/>
  <c r="CZ142" i="1"/>
  <c r="DB142" i="1"/>
  <c r="CX142" i="1"/>
  <c r="DC142" i="1"/>
  <c r="CY142" i="1"/>
  <c r="DA142" i="1"/>
  <c r="CX143" i="1"/>
  <c r="DB143" i="1"/>
  <c r="DA143" i="1"/>
  <c r="DC143" i="1"/>
  <c r="CY143" i="1"/>
  <c r="CZ143" i="1"/>
  <c r="CX233" i="1"/>
  <c r="DB233" i="1"/>
  <c r="DA233" i="1"/>
  <c r="DC233" i="1"/>
  <c r="CY233" i="1"/>
  <c r="CZ233" i="1"/>
  <c r="CX133" i="1"/>
  <c r="DB133" i="1"/>
  <c r="DC133" i="1"/>
  <c r="CY133" i="1"/>
  <c r="CZ133" i="1"/>
  <c r="DA133" i="1"/>
  <c r="CX97" i="1"/>
  <c r="DB97" i="1"/>
  <c r="CZ97" i="1"/>
  <c r="DA97" i="1"/>
  <c r="DC97" i="1"/>
  <c r="CY97" i="1"/>
  <c r="CX271" i="1"/>
  <c r="DB271" i="1"/>
  <c r="DA271" i="1"/>
  <c r="CY271" i="1"/>
  <c r="DC271" i="1"/>
  <c r="CZ271" i="1"/>
  <c r="CZ110" i="1"/>
  <c r="DB110" i="1"/>
  <c r="CX110" i="1"/>
  <c r="DC110" i="1"/>
  <c r="CY110" i="1"/>
  <c r="DA110" i="1"/>
  <c r="CZ222" i="1"/>
  <c r="CX222" i="1"/>
  <c r="DC222" i="1"/>
  <c r="DA222" i="1"/>
  <c r="CY222" i="1"/>
  <c r="DB222" i="1"/>
  <c r="CZ67" i="1"/>
  <c r="DA67" i="1"/>
  <c r="DB67" i="1"/>
  <c r="CX67" i="1"/>
  <c r="DC67" i="1"/>
  <c r="CY67" i="1"/>
  <c r="CZ134" i="1"/>
  <c r="DB134" i="1"/>
  <c r="CX134" i="1"/>
  <c r="DC134" i="1"/>
  <c r="CY134" i="1"/>
  <c r="DA134" i="1"/>
  <c r="CZ42" i="1"/>
  <c r="DA42" i="1"/>
  <c r="DB42" i="1"/>
  <c r="CX42" i="1"/>
  <c r="CY42" i="1"/>
  <c r="DC42" i="1"/>
  <c r="CZ132" i="1"/>
  <c r="CX132" i="1"/>
  <c r="DC132" i="1"/>
  <c r="CY132" i="1"/>
  <c r="DA132" i="1"/>
  <c r="DB132" i="1"/>
  <c r="CX11" i="1"/>
  <c r="DB11" i="1"/>
  <c r="CY11" i="1"/>
  <c r="DC11" i="1"/>
  <c r="CZ11" i="1"/>
  <c r="DA11" i="1"/>
  <c r="CZ118" i="1"/>
  <c r="DB118" i="1"/>
  <c r="CX118" i="1"/>
  <c r="DC118" i="1"/>
  <c r="CY118" i="1"/>
  <c r="DA118" i="1"/>
  <c r="CZ38" i="1"/>
  <c r="DA38" i="1"/>
  <c r="DB38" i="1"/>
  <c r="CX38" i="1"/>
  <c r="CY38" i="1"/>
  <c r="DC38" i="1"/>
  <c r="CZ232" i="1"/>
  <c r="DB232" i="1"/>
  <c r="CY232" i="1"/>
  <c r="CX232" i="1"/>
  <c r="DC232" i="1"/>
  <c r="DA232" i="1"/>
  <c r="CZ54" i="1"/>
  <c r="DA54" i="1"/>
  <c r="DB54" i="1"/>
  <c r="CX54" i="1"/>
  <c r="CY54" i="1"/>
  <c r="DC54" i="1"/>
  <c r="CZ262" i="1"/>
  <c r="CX262" i="1"/>
  <c r="DC262" i="1"/>
  <c r="DA262" i="1"/>
  <c r="CY262" i="1"/>
  <c r="DB262" i="1"/>
  <c r="CZ68" i="1"/>
  <c r="CX68" i="1"/>
  <c r="DC68" i="1"/>
  <c r="CY68" i="1"/>
  <c r="DA68" i="1"/>
  <c r="DB68" i="1"/>
  <c r="CZ144" i="1"/>
  <c r="DA144" i="1"/>
  <c r="DB144" i="1"/>
  <c r="DC144" i="1"/>
  <c r="CX144" i="1"/>
  <c r="CY144" i="1"/>
  <c r="CX199" i="1"/>
  <c r="DB199" i="1"/>
  <c r="DC199" i="1"/>
  <c r="CY199" i="1"/>
  <c r="CZ199" i="1"/>
  <c r="DA199" i="1"/>
  <c r="CX7" i="1"/>
  <c r="DB7" i="1"/>
  <c r="CZ7" i="1"/>
  <c r="DA7" i="1"/>
  <c r="DC7" i="1"/>
  <c r="CY7" i="1"/>
  <c r="CX71" i="1"/>
  <c r="DB71" i="1"/>
  <c r="DA71" i="1"/>
  <c r="DC71" i="1"/>
  <c r="CY71" i="1"/>
  <c r="CZ71" i="1"/>
  <c r="CX29" i="1"/>
  <c r="DB29" i="1"/>
  <c r="CY29" i="1"/>
  <c r="DC29" i="1"/>
  <c r="CZ29" i="1"/>
  <c r="DA29" i="1"/>
  <c r="CX107" i="1"/>
  <c r="DB107" i="1"/>
  <c r="CY107" i="1"/>
  <c r="CZ107" i="1"/>
  <c r="DA107" i="1"/>
  <c r="DC107" i="1"/>
  <c r="CX269" i="1"/>
  <c r="DB269" i="1"/>
  <c r="DC269" i="1"/>
  <c r="CZ269" i="1"/>
  <c r="CY269" i="1"/>
  <c r="DA269" i="1"/>
  <c r="CX211" i="1"/>
  <c r="DB211" i="1"/>
  <c r="CZ211" i="1"/>
  <c r="DC211" i="1"/>
  <c r="DA211" i="1"/>
  <c r="CY211" i="1"/>
  <c r="CX165" i="1"/>
  <c r="DB165" i="1"/>
  <c r="CY165" i="1"/>
  <c r="DC165" i="1"/>
  <c r="CZ165" i="1"/>
  <c r="DA165" i="1"/>
  <c r="CZ255" i="1"/>
  <c r="DA255" i="1"/>
  <c r="CX255" i="1"/>
  <c r="DB255" i="1"/>
  <c r="DC255" i="1"/>
  <c r="CY255" i="1"/>
  <c r="CX183" i="1"/>
  <c r="DB183" i="1"/>
  <c r="DC183" i="1"/>
  <c r="CZ183" i="1"/>
  <c r="CY183" i="1"/>
  <c r="DA183" i="1"/>
  <c r="CX135" i="1"/>
  <c r="DB135" i="1"/>
  <c r="DA135" i="1"/>
  <c r="DC135" i="1"/>
  <c r="CY135" i="1"/>
  <c r="CZ135" i="1"/>
  <c r="CX197" i="1"/>
  <c r="DB197" i="1"/>
  <c r="CY197" i="1"/>
  <c r="DA197" i="1"/>
  <c r="CZ197" i="1"/>
  <c r="DC197" i="1"/>
  <c r="DD161" i="1"/>
  <c r="CX161" i="1"/>
  <c r="DB161" i="1"/>
  <c r="CY161" i="1"/>
  <c r="DC161" i="1"/>
  <c r="CZ161" i="1"/>
  <c r="DA161" i="1"/>
  <c r="CX129" i="1"/>
  <c r="DB129" i="1"/>
  <c r="CZ129" i="1"/>
  <c r="DA129" i="1"/>
  <c r="DC129" i="1"/>
  <c r="CY129" i="1"/>
  <c r="CV75" i="1"/>
  <c r="CX75" i="1"/>
  <c r="DB75" i="1"/>
  <c r="CY75" i="1"/>
  <c r="CZ75" i="1"/>
  <c r="DA75" i="1"/>
  <c r="DC75" i="1"/>
  <c r="CX25" i="1"/>
  <c r="DB25" i="1"/>
  <c r="CY25" i="1"/>
  <c r="DC25" i="1"/>
  <c r="CZ25" i="1"/>
  <c r="DA25" i="1"/>
  <c r="CZ158" i="1"/>
  <c r="DA158" i="1"/>
  <c r="DB158" i="1"/>
  <c r="CX158" i="1"/>
  <c r="DC158" i="1"/>
  <c r="CY158" i="1"/>
  <c r="CZ74" i="1"/>
  <c r="CY74" i="1"/>
  <c r="DA74" i="1"/>
  <c r="DB74" i="1"/>
  <c r="CX74" i="1"/>
  <c r="DC74" i="1"/>
  <c r="CX69" i="1"/>
  <c r="DB69" i="1"/>
  <c r="DC69" i="1"/>
  <c r="CY69" i="1"/>
  <c r="CZ69" i="1"/>
  <c r="DA69" i="1"/>
  <c r="CX87" i="1"/>
  <c r="DB87" i="1"/>
  <c r="DA87" i="1"/>
  <c r="DC87" i="1"/>
  <c r="CY87" i="1"/>
  <c r="CZ87" i="1"/>
  <c r="CZ86" i="1"/>
  <c r="DB86" i="1"/>
  <c r="CX86" i="1"/>
  <c r="DC86" i="1"/>
  <c r="CY86" i="1"/>
  <c r="DA86" i="1"/>
  <c r="CZ58" i="1"/>
  <c r="DA58" i="1"/>
  <c r="DB58" i="1"/>
  <c r="CX58" i="1"/>
  <c r="CY58" i="1"/>
  <c r="DC58" i="1"/>
  <c r="DB186" i="1"/>
  <c r="DC186" i="1"/>
  <c r="CX93" i="1"/>
  <c r="DB93" i="1"/>
  <c r="DC93" i="1"/>
  <c r="CY93" i="1"/>
  <c r="CZ93" i="1"/>
  <c r="DA93" i="1"/>
  <c r="CX189" i="1"/>
  <c r="DB189" i="1"/>
  <c r="CY189" i="1"/>
  <c r="DA189" i="1"/>
  <c r="CZ189" i="1"/>
  <c r="DC189" i="1"/>
  <c r="CZ230" i="1"/>
  <c r="CX230" i="1"/>
  <c r="DC230" i="1"/>
  <c r="DA230" i="1"/>
  <c r="CY230" i="1"/>
  <c r="DB230" i="1"/>
  <c r="CZ88" i="1"/>
  <c r="DA88" i="1"/>
  <c r="DB88" i="1"/>
  <c r="CX88" i="1"/>
  <c r="DC88" i="1"/>
  <c r="CY88" i="1"/>
  <c r="CX91" i="1"/>
  <c r="DB91" i="1"/>
  <c r="CY91" i="1"/>
  <c r="CZ91" i="1"/>
  <c r="DA91" i="1"/>
  <c r="DC91" i="1"/>
  <c r="CZ46" i="1"/>
  <c r="DA46" i="1"/>
  <c r="DB46" i="1"/>
  <c r="DC46" i="1"/>
  <c r="CX46" i="1"/>
  <c r="CY46" i="1"/>
  <c r="CX99" i="1"/>
  <c r="DB99" i="1"/>
  <c r="CY99" i="1"/>
  <c r="CZ99" i="1"/>
  <c r="DA99" i="1"/>
  <c r="DC99" i="1"/>
  <c r="CX215" i="1"/>
  <c r="DB215" i="1"/>
  <c r="DC215" i="1"/>
  <c r="CZ215" i="1"/>
  <c r="CY215" i="1"/>
  <c r="DA215" i="1"/>
  <c r="CZ24" i="1"/>
  <c r="DA24" i="1"/>
  <c r="CX24" i="1"/>
  <c r="CY24" i="1"/>
  <c r="DB24" i="1"/>
  <c r="DC24" i="1"/>
  <c r="CX221" i="1"/>
  <c r="DB221" i="1"/>
  <c r="CY221" i="1"/>
  <c r="CZ221" i="1"/>
  <c r="DA221" i="1"/>
  <c r="DC221" i="1"/>
  <c r="CX266" i="1"/>
  <c r="DB266" i="1"/>
  <c r="CZ266" i="1"/>
  <c r="DC266" i="1"/>
  <c r="DA266" i="1"/>
  <c r="CY266" i="1"/>
  <c r="CX85" i="1"/>
  <c r="DB85" i="1"/>
  <c r="DC85" i="1"/>
  <c r="CY85" i="1"/>
  <c r="CZ85" i="1"/>
  <c r="DA85" i="1"/>
  <c r="CZ26" i="1"/>
  <c r="DA26" i="1"/>
  <c r="DB26" i="1"/>
  <c r="CX26" i="1"/>
  <c r="CY26" i="1"/>
  <c r="DC26" i="1"/>
  <c r="CX55" i="1"/>
  <c r="DB55" i="1"/>
  <c r="CY55" i="1"/>
  <c r="DC55" i="1"/>
  <c r="DA55" i="1"/>
  <c r="CZ55" i="1"/>
  <c r="CX231" i="1"/>
  <c r="DB231" i="1"/>
  <c r="DC231" i="1"/>
  <c r="CY231" i="1"/>
  <c r="CZ231" i="1"/>
  <c r="DA231" i="1"/>
  <c r="CX249" i="1"/>
  <c r="DB249" i="1"/>
  <c r="DA249" i="1"/>
  <c r="DC249" i="1"/>
  <c r="CY249" i="1"/>
  <c r="CZ249" i="1"/>
  <c r="CU139" i="1"/>
  <c r="CX139" i="1"/>
  <c r="DB139" i="1"/>
  <c r="CY139" i="1"/>
  <c r="CZ139" i="1"/>
  <c r="DA139" i="1"/>
  <c r="DC139" i="1"/>
  <c r="CX268" i="1"/>
  <c r="DB268" i="1"/>
  <c r="CY268" i="1"/>
  <c r="DA268" i="1"/>
  <c r="CZ268" i="1"/>
  <c r="DC268" i="1"/>
  <c r="CZ126" i="1"/>
  <c r="DB126" i="1"/>
  <c r="CX126" i="1"/>
  <c r="DC126" i="1"/>
  <c r="CY126" i="1"/>
  <c r="DA126" i="1"/>
  <c r="CX179" i="1"/>
  <c r="DB179" i="1"/>
  <c r="CZ179" i="1"/>
  <c r="DC179" i="1"/>
  <c r="DA179" i="1"/>
  <c r="CY179" i="1"/>
  <c r="CX103" i="1"/>
  <c r="DB103" i="1"/>
  <c r="DA103" i="1"/>
  <c r="DC103" i="1"/>
  <c r="CY103" i="1"/>
  <c r="CZ103" i="1"/>
  <c r="CZ180" i="1"/>
  <c r="CX180" i="1"/>
  <c r="DC180" i="1"/>
  <c r="CY180" i="1"/>
  <c r="DA180" i="1"/>
  <c r="DB180" i="1"/>
  <c r="CX213" i="1"/>
  <c r="DB213" i="1"/>
  <c r="CY213" i="1"/>
  <c r="DA213" i="1"/>
  <c r="CZ213" i="1"/>
  <c r="DC213" i="1"/>
  <c r="CX149" i="1"/>
  <c r="DB149" i="1"/>
  <c r="DC149" i="1"/>
  <c r="CY149" i="1"/>
  <c r="CZ149" i="1"/>
  <c r="DA149" i="1"/>
  <c r="CZ188" i="1"/>
  <c r="CY188" i="1"/>
  <c r="DB188" i="1"/>
  <c r="DA188" i="1"/>
  <c r="CX188" i="1"/>
  <c r="DC188" i="1"/>
  <c r="CX117" i="1"/>
  <c r="DB117" i="1"/>
  <c r="DC117" i="1"/>
  <c r="CY117" i="1"/>
  <c r="CZ117" i="1"/>
  <c r="DA117" i="1"/>
  <c r="CZ106" i="1"/>
  <c r="CY106" i="1"/>
  <c r="DA106" i="1"/>
  <c r="DB106" i="1"/>
  <c r="CX106" i="1"/>
  <c r="DC106" i="1"/>
  <c r="CZ18" i="1"/>
  <c r="DA18" i="1"/>
  <c r="DB18" i="1"/>
  <c r="CY18" i="1"/>
  <c r="DC18" i="1"/>
  <c r="CX18" i="1"/>
  <c r="CZ60" i="1"/>
  <c r="DA60" i="1"/>
  <c r="CX60" i="1"/>
  <c r="DC60" i="1"/>
  <c r="CY60" i="1"/>
  <c r="DB60" i="1"/>
  <c r="CZ36" i="1"/>
  <c r="DA36" i="1"/>
  <c r="CX36" i="1"/>
  <c r="CY36" i="1"/>
  <c r="DB36" i="1"/>
  <c r="DC36" i="1"/>
  <c r="CZ120" i="1"/>
  <c r="DA120" i="1"/>
  <c r="CX120" i="1"/>
  <c r="DB120" i="1"/>
  <c r="CY120" i="1"/>
  <c r="DC120" i="1"/>
  <c r="CZ176" i="1"/>
  <c r="DA176" i="1"/>
  <c r="CX176" i="1"/>
  <c r="DB176" i="1"/>
  <c r="CY176" i="1"/>
  <c r="DC176" i="1"/>
  <c r="CX37" i="1"/>
  <c r="DB37" i="1"/>
  <c r="CY37" i="1"/>
  <c r="DC37" i="1"/>
  <c r="CZ37" i="1"/>
  <c r="DA37" i="1"/>
  <c r="CX243" i="1"/>
  <c r="DB243" i="1"/>
  <c r="CZ243" i="1"/>
  <c r="DA243" i="1"/>
  <c r="DC243" i="1"/>
  <c r="CY243" i="1"/>
  <c r="CZ212" i="1"/>
  <c r="CY212" i="1"/>
  <c r="DA212" i="1"/>
  <c r="DB212" i="1"/>
  <c r="DC212" i="1"/>
  <c r="CX212" i="1"/>
  <c r="CX90" i="1"/>
  <c r="DB90" i="1"/>
  <c r="CY90" i="1"/>
  <c r="DC90" i="1"/>
  <c r="CZ90" i="1"/>
  <c r="DA90" i="1"/>
  <c r="CX227" i="1"/>
  <c r="DB227" i="1"/>
  <c r="CZ227" i="1"/>
  <c r="DA227" i="1"/>
  <c r="DC227" i="1"/>
  <c r="CY227" i="1"/>
  <c r="CX203" i="1"/>
  <c r="DB203" i="1"/>
  <c r="CZ203" i="1"/>
  <c r="DC203" i="1"/>
  <c r="DA203" i="1"/>
  <c r="CY203" i="1"/>
  <c r="CX141" i="1"/>
  <c r="DB141" i="1"/>
  <c r="DC141" i="1"/>
  <c r="CY141" i="1"/>
  <c r="CZ141" i="1"/>
  <c r="DA141" i="1"/>
  <c r="CX41" i="1"/>
  <c r="DB41" i="1"/>
  <c r="CY41" i="1"/>
  <c r="DC41" i="1"/>
  <c r="CZ41" i="1"/>
  <c r="DA41" i="1"/>
  <c r="CZ192" i="1"/>
  <c r="DB192" i="1"/>
  <c r="CY192" i="1"/>
  <c r="CX192" i="1"/>
  <c r="DC192" i="1"/>
  <c r="DA192" i="1"/>
  <c r="CX169" i="1"/>
  <c r="DB169" i="1"/>
  <c r="CY169" i="1"/>
  <c r="DC169" i="1"/>
  <c r="CZ169" i="1"/>
  <c r="DA169" i="1"/>
  <c r="CZ224" i="1"/>
  <c r="DB224" i="1"/>
  <c r="CY224" i="1"/>
  <c r="CX224" i="1"/>
  <c r="DC224" i="1"/>
  <c r="DA224" i="1"/>
  <c r="CZ216" i="1"/>
  <c r="DB216" i="1"/>
  <c r="CX216" i="1"/>
  <c r="DC216" i="1"/>
  <c r="CY216" i="1"/>
  <c r="DA216" i="1"/>
  <c r="CX137" i="1"/>
  <c r="DB137" i="1"/>
  <c r="CZ137" i="1"/>
  <c r="DA137" i="1"/>
  <c r="DC137" i="1"/>
  <c r="CY137" i="1"/>
  <c r="CX223" i="1"/>
  <c r="DB223" i="1"/>
  <c r="DC223" i="1"/>
  <c r="CY223" i="1"/>
  <c r="CZ223" i="1"/>
  <c r="DA223" i="1"/>
  <c r="CX105" i="1"/>
  <c r="DB105" i="1"/>
  <c r="CZ105" i="1"/>
  <c r="DA105" i="1"/>
  <c r="DC105" i="1"/>
  <c r="CY105" i="1"/>
  <c r="CZ164" i="1"/>
  <c r="DA164" i="1"/>
  <c r="CX164" i="1"/>
  <c r="DB164" i="1"/>
  <c r="CY164" i="1"/>
  <c r="DC164" i="1"/>
  <c r="CZ44" i="1"/>
  <c r="DA44" i="1"/>
  <c r="CX44" i="1"/>
  <c r="DC44" i="1"/>
  <c r="CY44" i="1"/>
  <c r="DB44" i="1"/>
  <c r="CZ108" i="1"/>
  <c r="CX108" i="1"/>
  <c r="DC108" i="1"/>
  <c r="CY108" i="1"/>
  <c r="DA108" i="1"/>
  <c r="DB108" i="1"/>
  <c r="CZ168" i="1"/>
  <c r="DA168" i="1"/>
  <c r="CX168" i="1"/>
  <c r="DB168" i="1"/>
  <c r="CY168" i="1"/>
  <c r="DC168" i="1"/>
  <c r="CX259" i="1"/>
  <c r="DB259" i="1"/>
  <c r="CZ259" i="1"/>
  <c r="DA259" i="1"/>
  <c r="DC259" i="1"/>
  <c r="CY259" i="1"/>
  <c r="CZ82" i="1"/>
  <c r="CY82" i="1"/>
  <c r="DA82" i="1"/>
  <c r="DB82" i="1"/>
  <c r="DC82" i="1"/>
  <c r="CX82" i="1"/>
  <c r="CZ163" i="1"/>
  <c r="CY163" i="1"/>
  <c r="DA163" i="1"/>
  <c r="DB163" i="1"/>
  <c r="CX163" i="1"/>
  <c r="DC163" i="1"/>
  <c r="CZ50" i="1"/>
  <c r="DA50" i="1"/>
  <c r="DB50" i="1"/>
  <c r="CY50" i="1"/>
  <c r="DC50" i="1"/>
  <c r="CX50" i="1"/>
  <c r="CX115" i="1"/>
  <c r="DB115" i="1"/>
  <c r="CY115" i="1"/>
  <c r="CZ115" i="1"/>
  <c r="DA115" i="1"/>
  <c r="DC115" i="1"/>
  <c r="CX123" i="1"/>
  <c r="DB123" i="1"/>
  <c r="CY123" i="1"/>
  <c r="CZ123" i="1"/>
  <c r="DA123" i="1"/>
  <c r="DC123" i="1"/>
  <c r="CX45" i="1"/>
  <c r="DB45" i="1"/>
  <c r="CY45" i="1"/>
  <c r="DC45" i="1"/>
  <c r="CZ45" i="1"/>
  <c r="DA45" i="1"/>
  <c r="CZ148" i="1"/>
  <c r="CX148" i="1"/>
  <c r="DC148" i="1"/>
  <c r="CY148" i="1"/>
  <c r="DA148" i="1"/>
  <c r="DB148" i="1"/>
  <c r="CX253" i="1"/>
  <c r="DB253" i="1"/>
  <c r="CY253" i="1"/>
  <c r="DA253" i="1"/>
  <c r="CZ253" i="1"/>
  <c r="DC253" i="1"/>
  <c r="CZ244" i="1"/>
  <c r="CY244" i="1"/>
  <c r="DB244" i="1"/>
  <c r="DA244" i="1"/>
  <c r="DC244" i="1"/>
  <c r="CX244" i="1"/>
  <c r="CX125" i="1"/>
  <c r="DB125" i="1"/>
  <c r="DC125" i="1"/>
  <c r="CY125" i="1"/>
  <c r="CZ125" i="1"/>
  <c r="DA125" i="1"/>
  <c r="CX121" i="1"/>
  <c r="DB121" i="1"/>
  <c r="CY121" i="1"/>
  <c r="CZ121" i="1"/>
  <c r="DA121" i="1"/>
  <c r="DC121" i="1"/>
  <c r="CX185" i="1"/>
  <c r="DB185" i="1"/>
  <c r="DA185" i="1"/>
  <c r="CY185" i="1"/>
  <c r="DC185" i="1"/>
  <c r="CZ185" i="1"/>
  <c r="CX70" i="1"/>
  <c r="DB70" i="1"/>
  <c r="CZ70" i="1"/>
  <c r="DA70" i="1"/>
  <c r="DC70" i="1"/>
  <c r="CY70" i="1"/>
  <c r="CZ146" i="1"/>
  <c r="CY146" i="1"/>
  <c r="DA146" i="1"/>
  <c r="DB146" i="1"/>
  <c r="DC146" i="1"/>
  <c r="CX146" i="1"/>
  <c r="CZ78" i="1"/>
  <c r="DB78" i="1"/>
  <c r="CX78" i="1"/>
  <c r="DC78" i="1"/>
  <c r="CY78" i="1"/>
  <c r="DA78" i="1"/>
  <c r="CX205" i="1"/>
  <c r="DB205" i="1"/>
  <c r="CY205" i="1"/>
  <c r="DA205" i="1"/>
  <c r="CZ205" i="1"/>
  <c r="DC205" i="1"/>
  <c r="CZ19" i="1"/>
  <c r="DA19" i="1"/>
  <c r="CX19" i="1"/>
  <c r="DC19" i="1"/>
  <c r="DB19" i="1"/>
  <c r="CY19" i="1"/>
  <c r="CX187" i="1"/>
  <c r="DB187" i="1"/>
  <c r="CZ187" i="1"/>
  <c r="DC187" i="1"/>
  <c r="DA187" i="1"/>
  <c r="CY187" i="1"/>
  <c r="CX17" i="1"/>
  <c r="DB17" i="1"/>
  <c r="CY17" i="1"/>
  <c r="DC17" i="1"/>
  <c r="CZ17" i="1"/>
  <c r="DA17" i="1"/>
  <c r="CZ94" i="1"/>
  <c r="DB94" i="1"/>
  <c r="CX94" i="1"/>
  <c r="DC94" i="1"/>
  <c r="CY94" i="1"/>
  <c r="DA94" i="1"/>
  <c r="CZ80" i="1"/>
  <c r="DA80" i="1"/>
  <c r="DB80" i="1"/>
  <c r="DC80" i="1"/>
  <c r="CX80" i="1"/>
  <c r="CY80" i="1"/>
  <c r="CX39" i="1"/>
  <c r="DB39" i="1"/>
  <c r="CY39" i="1"/>
  <c r="DC39" i="1"/>
  <c r="DA39" i="1"/>
  <c r="CZ39" i="1"/>
  <c r="CX193" i="1"/>
  <c r="DB193" i="1"/>
  <c r="DA193" i="1"/>
  <c r="CY193" i="1"/>
  <c r="DC193" i="1"/>
  <c r="CZ193" i="1"/>
  <c r="CZ220" i="1"/>
  <c r="CY220" i="1"/>
  <c r="DB220" i="1"/>
  <c r="DA220" i="1"/>
  <c r="CX220" i="1"/>
  <c r="DC220" i="1"/>
  <c r="CZ89" i="1"/>
  <c r="CY89" i="1"/>
  <c r="DA89" i="1"/>
  <c r="DB89" i="1"/>
  <c r="DC89" i="1"/>
  <c r="CX89" i="1"/>
  <c r="CZ254" i="1"/>
  <c r="CX254" i="1"/>
  <c r="DC254" i="1"/>
  <c r="CY254" i="1"/>
  <c r="DA254" i="1"/>
  <c r="DB254" i="1"/>
  <c r="CV242" i="1"/>
  <c r="CX83" i="1"/>
  <c r="DB83" i="1"/>
  <c r="CY83" i="1"/>
  <c r="CZ83" i="1"/>
  <c r="DA83" i="1"/>
  <c r="DC83" i="1"/>
  <c r="CZ84" i="1"/>
  <c r="CX84" i="1"/>
  <c r="DC84" i="1"/>
  <c r="CY84" i="1"/>
  <c r="DA84" i="1"/>
  <c r="DB84" i="1"/>
  <c r="CZ228" i="1"/>
  <c r="CY228" i="1"/>
  <c r="DB228" i="1"/>
  <c r="DA228" i="1"/>
  <c r="DC228" i="1"/>
  <c r="CX228" i="1"/>
  <c r="CZ174" i="1"/>
  <c r="DA174" i="1"/>
  <c r="DB174" i="1"/>
  <c r="CX174" i="1"/>
  <c r="DC174" i="1"/>
  <c r="CY174" i="1"/>
  <c r="CZ170" i="1"/>
  <c r="DA170" i="1"/>
  <c r="DB170" i="1"/>
  <c r="CX170" i="1"/>
  <c r="DC170" i="1"/>
  <c r="CY170" i="1"/>
  <c r="CZ98" i="1"/>
  <c r="CY98" i="1"/>
  <c r="DA98" i="1"/>
  <c r="DB98" i="1"/>
  <c r="DC98" i="1"/>
  <c r="CX98" i="1"/>
  <c r="CX195" i="1"/>
  <c r="DB195" i="1"/>
  <c r="CZ195" i="1"/>
  <c r="DC195" i="1"/>
  <c r="DA195" i="1"/>
  <c r="CY195" i="1"/>
  <c r="CX14" i="1"/>
  <c r="DB14" i="1"/>
  <c r="DA14" i="1"/>
  <c r="DC14" i="1"/>
  <c r="CY14" i="1"/>
  <c r="CZ14" i="1"/>
  <c r="CX263" i="1"/>
  <c r="DB263" i="1"/>
  <c r="DC263" i="1"/>
  <c r="CY263" i="1"/>
  <c r="CZ263" i="1"/>
  <c r="DA263" i="1"/>
  <c r="CX225" i="1"/>
  <c r="DB225" i="1"/>
  <c r="DA225" i="1"/>
  <c r="DC225" i="1"/>
  <c r="CY225" i="1"/>
  <c r="CZ225" i="1"/>
  <c r="CX81" i="1"/>
  <c r="DB81" i="1"/>
  <c r="CZ81" i="1"/>
  <c r="DA81" i="1"/>
  <c r="DC81" i="1"/>
  <c r="CY81" i="1"/>
  <c r="CZ72" i="1"/>
  <c r="DA72" i="1"/>
  <c r="DB72" i="1"/>
  <c r="CX72" i="1"/>
  <c r="DC72" i="1"/>
  <c r="CY72" i="1"/>
  <c r="CZ204" i="1"/>
  <c r="CY204" i="1"/>
  <c r="DA204" i="1"/>
  <c r="DB204" i="1"/>
  <c r="CX204" i="1"/>
  <c r="DC204" i="1"/>
  <c r="CZ150" i="1"/>
  <c r="DB150" i="1"/>
  <c r="CX150" i="1"/>
  <c r="DC150" i="1"/>
  <c r="CY150" i="1"/>
  <c r="DA150" i="1"/>
  <c r="CX173" i="1"/>
  <c r="DB173" i="1"/>
  <c r="CY173" i="1"/>
  <c r="DC173" i="1"/>
  <c r="CZ173" i="1"/>
  <c r="DA173" i="1"/>
  <c r="CZ226" i="1"/>
  <c r="DA226" i="1"/>
  <c r="CX226" i="1"/>
  <c r="DC226" i="1"/>
  <c r="DB226" i="1"/>
  <c r="CY226" i="1"/>
  <c r="CZ138" i="1"/>
  <c r="CY138" i="1"/>
  <c r="DA138" i="1"/>
  <c r="DB138" i="1"/>
  <c r="CX138" i="1"/>
  <c r="DC138" i="1"/>
  <c r="CZ52" i="1"/>
  <c r="DA52" i="1"/>
  <c r="CX52" i="1"/>
  <c r="CY52" i="1"/>
  <c r="DB52" i="1"/>
  <c r="DC52" i="1"/>
  <c r="CX175" i="1"/>
  <c r="DB175" i="1"/>
  <c r="CY175" i="1"/>
  <c r="DC175" i="1"/>
  <c r="CZ175" i="1"/>
  <c r="DA175" i="1"/>
  <c r="DD140" i="1"/>
  <c r="CZ140" i="1"/>
  <c r="CX140" i="1"/>
  <c r="DC140" i="1"/>
  <c r="CY140" i="1"/>
  <c r="DA140" i="1"/>
  <c r="DB140" i="1"/>
  <c r="DA66" i="1"/>
  <c r="CY66" i="1"/>
  <c r="CX66" i="1"/>
  <c r="CZ66" i="1"/>
  <c r="DB66" i="1"/>
  <c r="DC66" i="1"/>
  <c r="CZ194" i="1"/>
  <c r="DA194" i="1"/>
  <c r="DC194" i="1"/>
  <c r="DB194" i="1"/>
  <c r="CX194" i="1"/>
  <c r="CY194" i="1"/>
  <c r="CZ252" i="1"/>
  <c r="CY252" i="1"/>
  <c r="DA252" i="1"/>
  <c r="DB252" i="1"/>
  <c r="CX252" i="1"/>
  <c r="DC252" i="1"/>
  <c r="DC8" i="1"/>
  <c r="CY8" i="1"/>
  <c r="CZ8" i="1"/>
  <c r="DB8" i="1"/>
  <c r="CX8" i="1"/>
  <c r="DA8" i="1"/>
  <c r="CW194" i="1"/>
  <c r="DF267" i="1"/>
  <c r="DE267" i="1"/>
  <c r="CV52" i="1"/>
  <c r="DD194" i="1"/>
  <c r="DE66" i="1"/>
  <c r="CV252" i="1"/>
  <c r="CV175" i="1"/>
  <c r="CW66" i="1"/>
  <c r="CU140" i="1"/>
  <c r="CU194" i="1"/>
  <c r="CU52" i="1"/>
  <c r="DF140" i="1"/>
  <c r="DD25" i="1"/>
  <c r="DD52" i="1"/>
  <c r="DF175" i="1"/>
  <c r="CW175" i="1"/>
  <c r="CV66" i="1"/>
  <c r="CV140" i="1"/>
  <c r="CU252" i="1"/>
  <c r="CV194" i="1"/>
  <c r="CW52" i="1"/>
  <c r="CV25" i="1"/>
  <c r="DD66" i="1"/>
  <c r="DE252" i="1"/>
  <c r="CV161" i="1"/>
  <c r="CU75" i="1"/>
  <c r="CW158" i="1"/>
  <c r="DE158" i="1"/>
  <c r="CU242" i="1"/>
  <c r="DD242" i="1"/>
  <c r="CW242" i="1"/>
  <c r="DF242" i="1"/>
  <c r="DF52" i="1"/>
  <c r="DE140" i="1"/>
  <c r="DE175" i="1"/>
  <c r="DF194" i="1"/>
  <c r="DD252" i="1"/>
  <c r="DE52" i="1"/>
  <c r="DD175" i="1"/>
  <c r="DE194" i="1"/>
  <c r="DF66" i="1"/>
  <c r="DF252" i="1"/>
  <c r="CV160" i="1"/>
  <c r="CW104" i="1"/>
  <c r="DE182" i="1"/>
  <c r="CV182" i="1"/>
  <c r="DE206" i="1"/>
  <c r="DD104" i="1"/>
  <c r="CW40" i="1"/>
  <c r="CW129" i="1"/>
  <c r="CU182" i="1"/>
  <c r="CU25" i="1"/>
  <c r="CV158" i="1"/>
  <c r="CV206" i="1"/>
  <c r="DF25" i="1"/>
  <c r="DD129" i="1"/>
  <c r="DD158" i="1"/>
  <c r="DD40" i="1"/>
  <c r="CW160" i="1"/>
  <c r="CW25" i="1"/>
  <c r="CU158" i="1"/>
  <c r="CU104" i="1"/>
  <c r="CU206" i="1"/>
  <c r="DE25" i="1"/>
  <c r="DF158" i="1"/>
  <c r="DD75" i="1"/>
  <c r="CV34" i="1"/>
  <c r="DE34" i="1"/>
  <c r="CU34" i="1"/>
  <c r="CV40" i="1"/>
  <c r="CU160" i="1"/>
  <c r="CV63" i="1"/>
  <c r="DF40" i="1"/>
  <c r="DD63" i="1"/>
  <c r="DD34" i="1"/>
  <c r="CW34" i="1"/>
  <c r="CU40" i="1"/>
  <c r="CW182" i="1"/>
  <c r="CV104" i="1"/>
  <c r="CW206" i="1"/>
  <c r="DF182" i="1"/>
  <c r="DD160" i="1"/>
  <c r="DF34" i="1"/>
  <c r="DF104" i="1"/>
  <c r="CW139" i="1"/>
  <c r="DD139" i="1"/>
  <c r="DE48" i="1"/>
  <c r="CV48" i="1"/>
  <c r="DD10" i="1"/>
  <c r="CU48" i="1"/>
  <c r="CV139" i="1"/>
  <c r="CU63" i="1"/>
  <c r="DF139" i="1"/>
  <c r="DF63" i="1"/>
  <c r="DF48" i="1"/>
  <c r="CW63" i="1"/>
  <c r="DE139" i="1"/>
  <c r="DE63" i="1"/>
  <c r="DD48" i="1"/>
  <c r="DD206" i="1"/>
  <c r="DE10" i="1"/>
  <c r="DF160" i="1"/>
  <c r="CU10" i="1"/>
  <c r="CV10" i="1"/>
  <c r="CW48" i="1"/>
  <c r="DF206" i="1"/>
  <c r="DF10" i="1"/>
  <c r="DE160" i="1"/>
  <c r="DE104" i="1"/>
  <c r="CV129" i="1"/>
  <c r="CU161" i="1"/>
  <c r="CW197" i="1"/>
  <c r="CW75" i="1"/>
  <c r="DF129" i="1"/>
  <c r="DE161" i="1"/>
  <c r="DE197" i="1"/>
  <c r="DF75" i="1"/>
  <c r="CV197" i="1"/>
  <c r="DE129" i="1"/>
  <c r="DF161" i="1"/>
  <c r="DF197" i="1"/>
  <c r="DE75" i="1"/>
  <c r="CU129" i="1"/>
  <c r="CW161" i="1"/>
  <c r="CU197" i="1"/>
  <c r="DD197" i="1"/>
  <c r="CU172" i="1"/>
  <c r="CW138" i="1"/>
  <c r="CV135" i="1"/>
  <c r="CV14" i="1"/>
  <c r="CW81" i="1"/>
  <c r="CW150" i="1"/>
  <c r="CV173" i="1"/>
  <c r="CU138" i="1"/>
  <c r="CV138" i="1"/>
  <c r="DE270" i="1"/>
  <c r="DF270" i="1"/>
  <c r="DD270" i="1"/>
  <c r="DD20" i="1"/>
  <c r="DE20" i="1"/>
  <c r="DF20" i="1"/>
  <c r="DD74" i="1"/>
  <c r="DE74" i="1"/>
  <c r="DF74" i="1"/>
  <c r="DE109" i="1"/>
  <c r="DF109" i="1"/>
  <c r="DD109" i="1"/>
  <c r="DD92" i="1"/>
  <c r="DE92" i="1"/>
  <c r="DF92" i="1"/>
  <c r="DE111" i="1"/>
  <c r="DF111" i="1"/>
  <c r="DD111" i="1"/>
  <c r="DD136" i="1"/>
  <c r="DE136" i="1"/>
  <c r="DF136" i="1"/>
  <c r="DE256" i="1"/>
  <c r="DF256" i="1"/>
  <c r="DD256" i="1"/>
  <c r="DE45" i="1"/>
  <c r="DF45" i="1"/>
  <c r="DD45" i="1"/>
  <c r="DE125" i="1"/>
  <c r="DF125" i="1"/>
  <c r="DD125" i="1"/>
  <c r="DE70" i="1"/>
  <c r="DF70" i="1"/>
  <c r="DD70" i="1"/>
  <c r="DD78" i="1"/>
  <c r="DE78" i="1"/>
  <c r="DF78" i="1"/>
  <c r="DD187" i="1"/>
  <c r="DE187" i="1"/>
  <c r="DF187" i="1"/>
  <c r="DE17" i="1"/>
  <c r="DF17" i="1"/>
  <c r="DD17" i="1"/>
  <c r="DE39" i="1"/>
  <c r="DF39" i="1"/>
  <c r="DD39" i="1"/>
  <c r="DE220" i="1"/>
  <c r="DF220" i="1"/>
  <c r="DD220" i="1"/>
  <c r="DD8" i="1"/>
  <c r="DE8" i="1"/>
  <c r="DF8" i="1"/>
  <c r="DD144" i="1"/>
  <c r="DE144" i="1"/>
  <c r="DF144" i="1"/>
  <c r="DE71" i="1"/>
  <c r="DF71" i="1"/>
  <c r="DD71" i="1"/>
  <c r="DE107" i="1"/>
  <c r="DF107" i="1"/>
  <c r="DD107" i="1"/>
  <c r="DE255" i="1"/>
  <c r="DF255" i="1"/>
  <c r="DD255" i="1"/>
  <c r="DE135" i="1"/>
  <c r="DF135" i="1"/>
  <c r="DD135" i="1"/>
  <c r="DE178" i="1"/>
  <c r="DF178" i="1"/>
  <c r="DD178" i="1"/>
  <c r="DD116" i="1"/>
  <c r="DE116" i="1"/>
  <c r="DF116" i="1"/>
  <c r="DE21" i="1"/>
  <c r="DF21" i="1"/>
  <c r="DD21" i="1"/>
  <c r="DE218" i="1"/>
  <c r="DF218" i="1"/>
  <c r="DD218" i="1"/>
  <c r="DD12" i="1"/>
  <c r="DE12" i="1"/>
  <c r="DF12" i="1"/>
  <c r="DE260" i="1"/>
  <c r="DF260" i="1"/>
  <c r="DD260" i="1"/>
  <c r="DD30" i="1"/>
  <c r="DE30" i="1"/>
  <c r="DF30" i="1"/>
  <c r="DD159" i="1"/>
  <c r="DE159" i="1"/>
  <c r="DF159" i="1"/>
  <c r="DE246" i="1"/>
  <c r="DF246" i="1"/>
  <c r="DD246" i="1"/>
  <c r="DD201" i="1"/>
  <c r="DF201" i="1"/>
  <c r="DE201" i="1"/>
  <c r="DE31" i="1"/>
  <c r="DF31" i="1"/>
  <c r="DD31" i="1"/>
  <c r="DE15" i="1"/>
  <c r="DF15" i="1"/>
  <c r="DD15" i="1"/>
  <c r="DE43" i="1"/>
  <c r="DF43" i="1"/>
  <c r="DD43" i="1"/>
  <c r="DD102" i="1"/>
  <c r="DE102" i="1"/>
  <c r="DF102" i="1"/>
  <c r="DD217" i="1"/>
  <c r="DF217" i="1"/>
  <c r="DE217" i="1"/>
  <c r="DD235" i="1"/>
  <c r="DE235" i="1"/>
  <c r="DF235" i="1"/>
  <c r="DE33" i="1"/>
  <c r="DF33" i="1"/>
  <c r="DD33" i="1"/>
  <c r="DD157" i="1"/>
  <c r="DF157" i="1"/>
  <c r="DE157" i="1"/>
  <c r="DE196" i="1"/>
  <c r="DF196" i="1"/>
  <c r="DD196" i="1"/>
  <c r="DD32" i="1"/>
  <c r="DE32" i="1"/>
  <c r="DF32" i="1"/>
  <c r="DE238" i="1"/>
  <c r="DF238" i="1"/>
  <c r="DD238" i="1"/>
  <c r="DD28" i="1"/>
  <c r="DE28" i="1"/>
  <c r="DF28" i="1"/>
  <c r="DE230" i="1"/>
  <c r="DF230" i="1"/>
  <c r="DD230" i="1"/>
  <c r="DE147" i="1"/>
  <c r="DF147" i="1"/>
  <c r="DD147" i="1"/>
  <c r="DD88" i="1"/>
  <c r="DF88" i="1"/>
  <c r="DE88" i="1"/>
  <c r="DE240" i="1"/>
  <c r="DF240" i="1"/>
  <c r="DD240" i="1"/>
  <c r="DE145" i="1"/>
  <c r="DF145" i="1"/>
  <c r="DD145" i="1"/>
  <c r="DE91" i="1"/>
  <c r="DF91" i="1"/>
  <c r="DD91" i="1"/>
  <c r="DE59" i="1"/>
  <c r="DF59" i="1"/>
  <c r="DD59" i="1"/>
  <c r="DD152" i="1"/>
  <c r="DE152" i="1"/>
  <c r="DF152" i="1"/>
  <c r="DD46" i="1"/>
  <c r="DE46" i="1"/>
  <c r="DF46" i="1"/>
  <c r="DD122" i="1"/>
  <c r="DE122" i="1"/>
  <c r="DF122" i="1"/>
  <c r="DE99" i="1"/>
  <c r="DF99" i="1"/>
  <c r="DD99" i="1"/>
  <c r="DD241" i="1"/>
  <c r="DF241" i="1"/>
  <c r="DE241" i="1"/>
  <c r="DD229" i="1"/>
  <c r="DF229" i="1"/>
  <c r="DE229" i="1"/>
  <c r="DD215" i="1"/>
  <c r="DE215" i="1"/>
  <c r="DF215" i="1"/>
  <c r="DD239" i="1"/>
  <c r="DE239" i="1"/>
  <c r="DF239" i="1"/>
  <c r="DD16" i="1"/>
  <c r="DE16" i="1"/>
  <c r="DF16" i="1"/>
  <c r="DD24" i="1"/>
  <c r="DE24" i="1"/>
  <c r="DF24" i="1"/>
  <c r="DD184" i="1"/>
  <c r="DE184" i="1"/>
  <c r="DF184" i="1"/>
  <c r="DD221" i="1"/>
  <c r="DF221" i="1"/>
  <c r="DE221" i="1"/>
  <c r="DE83" i="1"/>
  <c r="DF83" i="1"/>
  <c r="DD83" i="1"/>
  <c r="DD84" i="1"/>
  <c r="DE84" i="1"/>
  <c r="DF84" i="1"/>
  <c r="DE228" i="1"/>
  <c r="DF228" i="1"/>
  <c r="DD228" i="1"/>
  <c r="DE174" i="1"/>
  <c r="DF174" i="1"/>
  <c r="DD174" i="1"/>
  <c r="DE170" i="1"/>
  <c r="DF170" i="1"/>
  <c r="DD170" i="1"/>
  <c r="DD98" i="1"/>
  <c r="DE98" i="1"/>
  <c r="DF98" i="1"/>
  <c r="DD195" i="1"/>
  <c r="DE195" i="1"/>
  <c r="DF195" i="1"/>
  <c r="DE14" i="1"/>
  <c r="DF14" i="1"/>
  <c r="DD14" i="1"/>
  <c r="DD263" i="1"/>
  <c r="DE263" i="1"/>
  <c r="DF263" i="1"/>
  <c r="DD225" i="1"/>
  <c r="DF225" i="1"/>
  <c r="DE225" i="1"/>
  <c r="DE81" i="1"/>
  <c r="DF81" i="1"/>
  <c r="DD81" i="1"/>
  <c r="DD72" i="1"/>
  <c r="DF72" i="1"/>
  <c r="DE72" i="1"/>
  <c r="DE204" i="1"/>
  <c r="DF204" i="1"/>
  <c r="DD204" i="1"/>
  <c r="DD150" i="1"/>
  <c r="DF150" i="1"/>
  <c r="DE150" i="1"/>
  <c r="DD173" i="1"/>
  <c r="DF173" i="1"/>
  <c r="DE173" i="1"/>
  <c r="DE226" i="1"/>
  <c r="DF226" i="1"/>
  <c r="DD226" i="1"/>
  <c r="DD138" i="1"/>
  <c r="DF138" i="1"/>
  <c r="DE138" i="1"/>
  <c r="DD219" i="1"/>
  <c r="DE219" i="1"/>
  <c r="DF219" i="1"/>
  <c r="DE87" i="1"/>
  <c r="DF87" i="1"/>
  <c r="DD87" i="1"/>
  <c r="DD86" i="1"/>
  <c r="DE86" i="1"/>
  <c r="DF86" i="1"/>
  <c r="DE53" i="1"/>
  <c r="DF53" i="1"/>
  <c r="DD53" i="1"/>
  <c r="DE93" i="1"/>
  <c r="DF93" i="1"/>
  <c r="DD93" i="1"/>
  <c r="DD253" i="1"/>
  <c r="DF253" i="1"/>
  <c r="DE253" i="1"/>
  <c r="DE121" i="1"/>
  <c r="DF121" i="1"/>
  <c r="DD121" i="1"/>
  <c r="DD205" i="1"/>
  <c r="DF205" i="1"/>
  <c r="DE205" i="1"/>
  <c r="DD80" i="1"/>
  <c r="DF80" i="1"/>
  <c r="DE80" i="1"/>
  <c r="DD89" i="1"/>
  <c r="DE89" i="1"/>
  <c r="DF89" i="1"/>
  <c r="DE262" i="1"/>
  <c r="DF262" i="1"/>
  <c r="DD262" i="1"/>
  <c r="DE7" i="1"/>
  <c r="DF7" i="1"/>
  <c r="DD7" i="1"/>
  <c r="DD211" i="1"/>
  <c r="DE211" i="1"/>
  <c r="DF211" i="1"/>
  <c r="DD126" i="1"/>
  <c r="DF126" i="1"/>
  <c r="DE126" i="1"/>
  <c r="DE103" i="1"/>
  <c r="DF103" i="1"/>
  <c r="DD103" i="1"/>
  <c r="DD96" i="1"/>
  <c r="DF96" i="1"/>
  <c r="DE96" i="1"/>
  <c r="DD153" i="1"/>
  <c r="DE153" i="1"/>
  <c r="DF153" i="1"/>
  <c r="DE73" i="1"/>
  <c r="DF73" i="1"/>
  <c r="DD73" i="1"/>
  <c r="DE120" i="1"/>
  <c r="DF120" i="1"/>
  <c r="DD120" i="1"/>
  <c r="DE176" i="1"/>
  <c r="DF176" i="1"/>
  <c r="DD176" i="1"/>
  <c r="DE27" i="1"/>
  <c r="DF27" i="1"/>
  <c r="DD27" i="1"/>
  <c r="DE214" i="1"/>
  <c r="DF214" i="1"/>
  <c r="DD214" i="1"/>
  <c r="DE9" i="1"/>
  <c r="DF9" i="1"/>
  <c r="DD9" i="1"/>
  <c r="DE265" i="1"/>
  <c r="DF265" i="1"/>
  <c r="DD265" i="1"/>
  <c r="DE61" i="1"/>
  <c r="DF61" i="1"/>
  <c r="DD61" i="1"/>
  <c r="DD62" i="1"/>
  <c r="DE62" i="1"/>
  <c r="DF62" i="1"/>
  <c r="DD65" i="1"/>
  <c r="DE65" i="1"/>
  <c r="DF65" i="1"/>
  <c r="DD114" i="1"/>
  <c r="DF114" i="1"/>
  <c r="DE114" i="1"/>
  <c r="DD245" i="1"/>
  <c r="DF245" i="1"/>
  <c r="DE245" i="1"/>
  <c r="DE119" i="1"/>
  <c r="DF119" i="1"/>
  <c r="DD119" i="1"/>
  <c r="DD128" i="1"/>
  <c r="DE128" i="1"/>
  <c r="DF128" i="1"/>
  <c r="DE23" i="1"/>
  <c r="DF23" i="1"/>
  <c r="DD23" i="1"/>
  <c r="DD207" i="1"/>
  <c r="DE207" i="1"/>
  <c r="DF207" i="1"/>
  <c r="DD22" i="1"/>
  <c r="DE22" i="1"/>
  <c r="DF22" i="1"/>
  <c r="DE57" i="1"/>
  <c r="DF57" i="1"/>
  <c r="DD57" i="1"/>
  <c r="DD167" i="1"/>
  <c r="DE167" i="1"/>
  <c r="DF167" i="1"/>
  <c r="DE200" i="1"/>
  <c r="DF200" i="1"/>
  <c r="DD200" i="1"/>
  <c r="DD100" i="1"/>
  <c r="DE100" i="1"/>
  <c r="DF100" i="1"/>
  <c r="DE51" i="1"/>
  <c r="DF51" i="1"/>
  <c r="DD51" i="1"/>
  <c r="DD266" i="1"/>
  <c r="DE266" i="1"/>
  <c r="DF266" i="1"/>
  <c r="DD130" i="1"/>
  <c r="DF130" i="1"/>
  <c r="DE130" i="1"/>
  <c r="DE101" i="1"/>
  <c r="DF101" i="1"/>
  <c r="DD101" i="1"/>
  <c r="DD64" i="1"/>
  <c r="DF64" i="1"/>
  <c r="DE64" i="1"/>
  <c r="DE85" i="1"/>
  <c r="DF85" i="1"/>
  <c r="DD85" i="1"/>
  <c r="DD257" i="1"/>
  <c r="DF257" i="1"/>
  <c r="DE257" i="1"/>
  <c r="DD26" i="1"/>
  <c r="DE26" i="1"/>
  <c r="DF26" i="1"/>
  <c r="DD264" i="1"/>
  <c r="DF264" i="1"/>
  <c r="DE264" i="1"/>
  <c r="DE236" i="1"/>
  <c r="DF236" i="1"/>
  <c r="DD236" i="1"/>
  <c r="DE55" i="1"/>
  <c r="DF55" i="1"/>
  <c r="DD55" i="1"/>
  <c r="DE77" i="1"/>
  <c r="DF77" i="1"/>
  <c r="DD77" i="1"/>
  <c r="DD231" i="1"/>
  <c r="DE231" i="1"/>
  <c r="DF231" i="1"/>
  <c r="DE162" i="1"/>
  <c r="DF162" i="1"/>
  <c r="DD162" i="1"/>
  <c r="DD249" i="1"/>
  <c r="DF249" i="1"/>
  <c r="DE249" i="1"/>
  <c r="DD171" i="1"/>
  <c r="DE171" i="1"/>
  <c r="DF171" i="1"/>
  <c r="DE155" i="1"/>
  <c r="DF155" i="1"/>
  <c r="DD155" i="1"/>
  <c r="DE69" i="1"/>
  <c r="DF69" i="1"/>
  <c r="DD69" i="1"/>
  <c r="DE154" i="1"/>
  <c r="DF154" i="1"/>
  <c r="DD154" i="1"/>
  <c r="DE166" i="1"/>
  <c r="DF166" i="1"/>
  <c r="DD166" i="1"/>
  <c r="DD58" i="1"/>
  <c r="DE58" i="1"/>
  <c r="DF58" i="1"/>
  <c r="DD186" i="1"/>
  <c r="DE186" i="1"/>
  <c r="DF186" i="1"/>
  <c r="DE208" i="1"/>
  <c r="DF208" i="1"/>
  <c r="DD208" i="1"/>
  <c r="DD189" i="1"/>
  <c r="DF189" i="1"/>
  <c r="DE189" i="1"/>
  <c r="DD148" i="1"/>
  <c r="DE148" i="1"/>
  <c r="DF148" i="1"/>
  <c r="DE244" i="1"/>
  <c r="DF244" i="1"/>
  <c r="DD244" i="1"/>
  <c r="DD185" i="1"/>
  <c r="DF185" i="1"/>
  <c r="DE185" i="1"/>
  <c r="DD146" i="1"/>
  <c r="DF146" i="1"/>
  <c r="DE146" i="1"/>
  <c r="DE19" i="1"/>
  <c r="DF19" i="1"/>
  <c r="DD19" i="1"/>
  <c r="DD94" i="1"/>
  <c r="DE94" i="1"/>
  <c r="DF94" i="1"/>
  <c r="DD193" i="1"/>
  <c r="DF193" i="1"/>
  <c r="DE193" i="1"/>
  <c r="DE254" i="1"/>
  <c r="DF254" i="1"/>
  <c r="DD254" i="1"/>
  <c r="DD54" i="1"/>
  <c r="DE54" i="1"/>
  <c r="DF54" i="1"/>
  <c r="DD68" i="1"/>
  <c r="DE68" i="1"/>
  <c r="DF68" i="1"/>
  <c r="DD199" i="1"/>
  <c r="DE199" i="1"/>
  <c r="DF199" i="1"/>
  <c r="DE29" i="1"/>
  <c r="DF29" i="1"/>
  <c r="DD29" i="1"/>
  <c r="DD269" i="1"/>
  <c r="DE269" i="1"/>
  <c r="DF269" i="1"/>
  <c r="DD165" i="1"/>
  <c r="DF165" i="1"/>
  <c r="DE165" i="1"/>
  <c r="DD183" i="1"/>
  <c r="DE183" i="1"/>
  <c r="DF183" i="1"/>
  <c r="DD237" i="1"/>
  <c r="DF237" i="1"/>
  <c r="DE237" i="1"/>
  <c r="DD268" i="1"/>
  <c r="DF268" i="1"/>
  <c r="DE268" i="1"/>
  <c r="DD76" i="1"/>
  <c r="DE76" i="1"/>
  <c r="DF76" i="1"/>
  <c r="DD179" i="1"/>
  <c r="DE179" i="1"/>
  <c r="DF179" i="1"/>
  <c r="DE248" i="1"/>
  <c r="DF248" i="1"/>
  <c r="DD248" i="1"/>
  <c r="DD180" i="1"/>
  <c r="DE180" i="1"/>
  <c r="DF180" i="1"/>
  <c r="DD213" i="1"/>
  <c r="DF213" i="1"/>
  <c r="DE213" i="1"/>
  <c r="DE149" i="1"/>
  <c r="DF149" i="1"/>
  <c r="DD149" i="1"/>
  <c r="DE188" i="1"/>
  <c r="DF188" i="1"/>
  <c r="DD188" i="1"/>
  <c r="DE117" i="1"/>
  <c r="DF117" i="1"/>
  <c r="DD117" i="1"/>
  <c r="DD106" i="1"/>
  <c r="DE106" i="1"/>
  <c r="DF106" i="1"/>
  <c r="DD18" i="1"/>
  <c r="DE18" i="1"/>
  <c r="DF18" i="1"/>
  <c r="DD60" i="1"/>
  <c r="DE60" i="1"/>
  <c r="DF60" i="1"/>
  <c r="DD36" i="1"/>
  <c r="DE36" i="1"/>
  <c r="DF36" i="1"/>
  <c r="DD142" i="1"/>
  <c r="DF142" i="1"/>
  <c r="DE142" i="1"/>
  <c r="DE191" i="1"/>
  <c r="DF191" i="1"/>
  <c r="DD191" i="1"/>
  <c r="DE131" i="1"/>
  <c r="DF131" i="1"/>
  <c r="DD131" i="1"/>
  <c r="DD203" i="1"/>
  <c r="DE203" i="1"/>
  <c r="DF203" i="1"/>
  <c r="DE141" i="1"/>
  <c r="DF141" i="1"/>
  <c r="DD141" i="1"/>
  <c r="DE41" i="1"/>
  <c r="DF41" i="1"/>
  <c r="DD41" i="1"/>
  <c r="DE192" i="1"/>
  <c r="DF192" i="1"/>
  <c r="DD192" i="1"/>
  <c r="DD169" i="1"/>
  <c r="DF169" i="1"/>
  <c r="DE169" i="1"/>
  <c r="DE224" i="1"/>
  <c r="DF224" i="1"/>
  <c r="DD224" i="1"/>
  <c r="DE216" i="1"/>
  <c r="DF216" i="1"/>
  <c r="DD216" i="1"/>
  <c r="DE137" i="1"/>
  <c r="DF137" i="1"/>
  <c r="DD137" i="1"/>
  <c r="DD223" i="1"/>
  <c r="DE223" i="1"/>
  <c r="DF223" i="1"/>
  <c r="DE105" i="1"/>
  <c r="DF105" i="1"/>
  <c r="DD105" i="1"/>
  <c r="DE164" i="1"/>
  <c r="DF164" i="1"/>
  <c r="DD164" i="1"/>
  <c r="DD44" i="1"/>
  <c r="DE44" i="1"/>
  <c r="DF44" i="1"/>
  <c r="DD108" i="1"/>
  <c r="DE108" i="1"/>
  <c r="DF108" i="1"/>
  <c r="DE168" i="1"/>
  <c r="DF168" i="1"/>
  <c r="DD168" i="1"/>
  <c r="DD259" i="1"/>
  <c r="DE259" i="1"/>
  <c r="DF259" i="1"/>
  <c r="DD82" i="1"/>
  <c r="DE82" i="1"/>
  <c r="DF82" i="1"/>
  <c r="DD163" i="1"/>
  <c r="DE163" i="1"/>
  <c r="DF163" i="1"/>
  <c r="DD50" i="1"/>
  <c r="DE50" i="1"/>
  <c r="DF50" i="1"/>
  <c r="DE115" i="1"/>
  <c r="DF115" i="1"/>
  <c r="DD115" i="1"/>
  <c r="DE123" i="1"/>
  <c r="DF123" i="1"/>
  <c r="DD123" i="1"/>
  <c r="DE37" i="1"/>
  <c r="DF37" i="1"/>
  <c r="DD37" i="1"/>
  <c r="DE143" i="1"/>
  <c r="DF143" i="1"/>
  <c r="DD143" i="1"/>
  <c r="DD243" i="1"/>
  <c r="DE243" i="1"/>
  <c r="DF243" i="1"/>
  <c r="DD233" i="1"/>
  <c r="DF233" i="1"/>
  <c r="DE233" i="1"/>
  <c r="DE212" i="1"/>
  <c r="DF212" i="1"/>
  <c r="DD212" i="1"/>
  <c r="DE133" i="1"/>
  <c r="DF133" i="1"/>
  <c r="DD133" i="1"/>
  <c r="DE90" i="1"/>
  <c r="DF90" i="1"/>
  <c r="DD90" i="1"/>
  <c r="DE97" i="1"/>
  <c r="DF97" i="1"/>
  <c r="DD97" i="1"/>
  <c r="DD227" i="1"/>
  <c r="DE227" i="1"/>
  <c r="DF227" i="1"/>
  <c r="DD271" i="1"/>
  <c r="DF271" i="1"/>
  <c r="DE271" i="1"/>
  <c r="DD110" i="1"/>
  <c r="DE110" i="1"/>
  <c r="DF110" i="1"/>
  <c r="DE222" i="1"/>
  <c r="DF222" i="1"/>
  <c r="DD222" i="1"/>
  <c r="DD67" i="1"/>
  <c r="DF67" i="1"/>
  <c r="DE67" i="1"/>
  <c r="DD134" i="1"/>
  <c r="DF134" i="1"/>
  <c r="DE134" i="1"/>
  <c r="DD42" i="1"/>
  <c r="DE42" i="1"/>
  <c r="DF42" i="1"/>
  <c r="DD132" i="1"/>
  <c r="DE132" i="1"/>
  <c r="DF132" i="1"/>
  <c r="DE11" i="1"/>
  <c r="DF11" i="1"/>
  <c r="DD11" i="1"/>
  <c r="DD118" i="1"/>
  <c r="DE118" i="1"/>
  <c r="DF118" i="1"/>
  <c r="DD38" i="1"/>
  <c r="DE38" i="1"/>
  <c r="DF38" i="1"/>
  <c r="DE232" i="1"/>
  <c r="DF232" i="1"/>
  <c r="DD232" i="1"/>
  <c r="CU135" i="1"/>
  <c r="DD261" i="1"/>
  <c r="DF261" i="1"/>
  <c r="DE261" i="1"/>
  <c r="DE47" i="1"/>
  <c r="DF47" i="1"/>
  <c r="DD47" i="1"/>
  <c r="DD247" i="1"/>
  <c r="DE247" i="1"/>
  <c r="DF247" i="1"/>
  <c r="DD56" i="1"/>
  <c r="DF56" i="1"/>
  <c r="DE56" i="1"/>
  <c r="DE234" i="1"/>
  <c r="DF234" i="1"/>
  <c r="DD234" i="1"/>
  <c r="DE198" i="1"/>
  <c r="DF198" i="1"/>
  <c r="DD198" i="1"/>
  <c r="DD35" i="1"/>
  <c r="DE35" i="1"/>
  <c r="DF35" i="1"/>
  <c r="DD181" i="1"/>
  <c r="DF181" i="1"/>
  <c r="DE181" i="1"/>
  <c r="DE151" i="1"/>
  <c r="DF151" i="1"/>
  <c r="DD151" i="1"/>
  <c r="DE156" i="1"/>
  <c r="DF156" i="1"/>
  <c r="DD156" i="1"/>
  <c r="DD177" i="1"/>
  <c r="DF177" i="1"/>
  <c r="DE177" i="1"/>
  <c r="DE49" i="1"/>
  <c r="DF49" i="1"/>
  <c r="DD49" i="1"/>
  <c r="DD251" i="1"/>
  <c r="DE251" i="1"/>
  <c r="DF251" i="1"/>
  <c r="DD202" i="1"/>
  <c r="DE202" i="1"/>
  <c r="DF202" i="1"/>
  <c r="DE190" i="1"/>
  <c r="DF190" i="1"/>
  <c r="DD190" i="1"/>
  <c r="DE172" i="1"/>
  <c r="DF172" i="1"/>
  <c r="DD172" i="1"/>
  <c r="CV8" i="1"/>
  <c r="CW29" i="1"/>
  <c r="CW83" i="1"/>
  <c r="CW84" i="1"/>
  <c r="CU228" i="1"/>
  <c r="CU174" i="1"/>
  <c r="CU170" i="1"/>
  <c r="CW98" i="1"/>
  <c r="CU195" i="1"/>
  <c r="CW14" i="1"/>
  <c r="CW71" i="1"/>
  <c r="CU269" i="1"/>
  <c r="CW135" i="1"/>
  <c r="CU266" i="1"/>
  <c r="CV130" i="1"/>
  <c r="CW64" i="1"/>
  <c r="CV257" i="1"/>
  <c r="CU264" i="1"/>
  <c r="CU231" i="1"/>
  <c r="CU171" i="1"/>
  <c r="CW7" i="1"/>
  <c r="CU183" i="1"/>
  <c r="CU261" i="1"/>
  <c r="CU247" i="1"/>
  <c r="CU35" i="1"/>
  <c r="CV181" i="1"/>
  <c r="CU151" i="1"/>
  <c r="CU156" i="1"/>
  <c r="CV202" i="1"/>
  <c r="CU190" i="1"/>
  <c r="CV171" i="1"/>
  <c r="CV26" i="1"/>
  <c r="CW172" i="1"/>
  <c r="CW249" i="1"/>
  <c r="CU257" i="1"/>
  <c r="CU51" i="1"/>
  <c r="CV85" i="1"/>
  <c r="CW171" i="1"/>
  <c r="CU162" i="1"/>
  <c r="CW231" i="1"/>
  <c r="CU236" i="1"/>
  <c r="CU249" i="1"/>
  <c r="CV174" i="1"/>
  <c r="CV71" i="1"/>
  <c r="CU211" i="1"/>
  <c r="CW130" i="1"/>
  <c r="CV199" i="1"/>
  <c r="CW54" i="1"/>
  <c r="CW255" i="1"/>
  <c r="CV68" i="1"/>
  <c r="CU144" i="1"/>
  <c r="CU255" i="1"/>
  <c r="CU165" i="1"/>
  <c r="CU8" i="1"/>
  <c r="CU199" i="1"/>
  <c r="CU7" i="1"/>
  <c r="CU71" i="1"/>
  <c r="CW183" i="1"/>
  <c r="CW8" i="1"/>
  <c r="CV255" i="1"/>
  <c r="CW107" i="1"/>
  <c r="CV183" i="1"/>
  <c r="CV144" i="1"/>
  <c r="CV211" i="1"/>
  <c r="CW262" i="1"/>
  <c r="CV170" i="1"/>
  <c r="CU81" i="1"/>
  <c r="CW263" i="1"/>
  <c r="CV263" i="1"/>
  <c r="CW225" i="1"/>
  <c r="CV225" i="1"/>
  <c r="CW228" i="1"/>
  <c r="CU204" i="1"/>
  <c r="CV72" i="1"/>
  <c r="CU72" i="1"/>
  <c r="CU226" i="1"/>
  <c r="CU173" i="1"/>
  <c r="CV150" i="1"/>
  <c r="CV81" i="1"/>
  <c r="CU14" i="1"/>
  <c r="CU263" i="1"/>
  <c r="CU225" i="1"/>
  <c r="CV226" i="1"/>
  <c r="CW226" i="1"/>
  <c r="CV228" i="1"/>
  <c r="CW204" i="1"/>
  <c r="CV204" i="1"/>
  <c r="CW72" i="1"/>
  <c r="CW173" i="1"/>
  <c r="CV195" i="1"/>
  <c r="CU150" i="1"/>
  <c r="CV83" i="1"/>
  <c r="CU202" i="1"/>
  <c r="CU77" i="1"/>
  <c r="CV156" i="1"/>
  <c r="CU198" i="1"/>
  <c r="CV190" i="1"/>
  <c r="CV251" i="1"/>
  <c r="CW190" i="1"/>
  <c r="CU251" i="1"/>
  <c r="CU68" i="1"/>
  <c r="CV177" i="1"/>
  <c r="CU49" i="1"/>
  <c r="CV107" i="1"/>
  <c r="CU29" i="1"/>
  <c r="CV165" i="1"/>
  <c r="CV262" i="1"/>
  <c r="CW269" i="1"/>
  <c r="CV269" i="1"/>
  <c r="CW156" i="1"/>
  <c r="CW251" i="1"/>
  <c r="CU177" i="1"/>
  <c r="CW202" i="1"/>
  <c r="CW199" i="1"/>
  <c r="CV7" i="1"/>
  <c r="CW177" i="1"/>
  <c r="CW49" i="1"/>
  <c r="CV49" i="1"/>
  <c r="CU107" i="1"/>
  <c r="CW165" i="1"/>
  <c r="CW211" i="1"/>
  <c r="CV231" i="1"/>
  <c r="CW26" i="1"/>
  <c r="CV236" i="1"/>
  <c r="CV51" i="1"/>
  <c r="CV64" i="1"/>
  <c r="CU64" i="1"/>
  <c r="CW85" i="1"/>
  <c r="CU130" i="1"/>
  <c r="CV162" i="1"/>
  <c r="CU55" i="1"/>
  <c r="CV77" i="1"/>
  <c r="CW264" i="1"/>
  <c r="CV264" i="1"/>
  <c r="CW236" i="1"/>
  <c r="CW51" i="1"/>
  <c r="CW266" i="1"/>
  <c r="CV266" i="1"/>
  <c r="CU101" i="1"/>
  <c r="CW162" i="1"/>
  <c r="CV55" i="1"/>
  <c r="CW77" i="1"/>
  <c r="CV249" i="1"/>
  <c r="CW257" i="1"/>
  <c r="CU26" i="1"/>
  <c r="CU85" i="1"/>
  <c r="CW55" i="1"/>
  <c r="CW151" i="1"/>
  <c r="CW247" i="1"/>
  <c r="CW56" i="1"/>
  <c r="CW198" i="1"/>
  <c r="CV35" i="1"/>
  <c r="CW68" i="1"/>
  <c r="CW181" i="1"/>
  <c r="CV29" i="1"/>
  <c r="CW144" i="1"/>
  <c r="CU54" i="1"/>
  <c r="CU262" i="1"/>
  <c r="CV54" i="1"/>
  <c r="CV247" i="1"/>
  <c r="CV198" i="1"/>
  <c r="CW35" i="1"/>
  <c r="CV234" i="1"/>
  <c r="CW234" i="1"/>
  <c r="CU47" i="1"/>
  <c r="CU56" i="1"/>
  <c r="CU234" i="1"/>
  <c r="CU181" i="1"/>
  <c r="CV151" i="1"/>
  <c r="CV47" i="1"/>
  <c r="CV56" i="1"/>
  <c r="CW261" i="1"/>
  <c r="CV261" i="1"/>
  <c r="CW47" i="1"/>
  <c r="CW195" i="1"/>
  <c r="CW170" i="1"/>
  <c r="CU83" i="1"/>
  <c r="CV84" i="1"/>
  <c r="CU84" i="1"/>
  <c r="CW174" i="1"/>
  <c r="CU98" i="1"/>
  <c r="CV98" i="1"/>
  <c r="CU270" i="1"/>
  <c r="CV270" i="1"/>
  <c r="CW270" i="1"/>
  <c r="CU203" i="1"/>
  <c r="CV203" i="1"/>
  <c r="CW203" i="1"/>
  <c r="CV141" i="1"/>
  <c r="CW141" i="1"/>
  <c r="CU141" i="1"/>
  <c r="CU192" i="1"/>
  <c r="CV192" i="1"/>
  <c r="CW192" i="1"/>
  <c r="CU224" i="1"/>
  <c r="CV224" i="1"/>
  <c r="CW224" i="1"/>
  <c r="CV137" i="1"/>
  <c r="CW137" i="1"/>
  <c r="CU137" i="1"/>
  <c r="CW105" i="1"/>
  <c r="CU105" i="1"/>
  <c r="CV105" i="1"/>
  <c r="CU44" i="1"/>
  <c r="CV44" i="1"/>
  <c r="CW44" i="1"/>
  <c r="CW108" i="1"/>
  <c r="CU108" i="1"/>
  <c r="CV108" i="1"/>
  <c r="CV259" i="1"/>
  <c r="CW259" i="1"/>
  <c r="CU259" i="1"/>
  <c r="CW163" i="1"/>
  <c r="CU163" i="1"/>
  <c r="CV163" i="1"/>
  <c r="CV115" i="1"/>
  <c r="CW115" i="1"/>
  <c r="CU115" i="1"/>
  <c r="CV123" i="1"/>
  <c r="CW123" i="1"/>
  <c r="CU123" i="1"/>
  <c r="CU37" i="1"/>
  <c r="CV37" i="1"/>
  <c r="CW37" i="1"/>
  <c r="CU243" i="1"/>
  <c r="CW243" i="1"/>
  <c r="CV243" i="1"/>
  <c r="CU212" i="1"/>
  <c r="CV212" i="1"/>
  <c r="CW212" i="1"/>
  <c r="CV90" i="1"/>
  <c r="CW90" i="1"/>
  <c r="CU90" i="1"/>
  <c r="CV271" i="1"/>
  <c r="CU271" i="1"/>
  <c r="CW271" i="1"/>
  <c r="CU222" i="1"/>
  <c r="CV222" i="1"/>
  <c r="CW222" i="1"/>
  <c r="CV67" i="1"/>
  <c r="CW67" i="1"/>
  <c r="CU67" i="1"/>
  <c r="CV132" i="1"/>
  <c r="CW132" i="1"/>
  <c r="CU132" i="1"/>
  <c r="CV118" i="1"/>
  <c r="CW118" i="1"/>
  <c r="CU118" i="1"/>
  <c r="CU232" i="1"/>
  <c r="CV232" i="1"/>
  <c r="CW232" i="1"/>
  <c r="CV20" i="1"/>
  <c r="CW20" i="1"/>
  <c r="CU20" i="1"/>
  <c r="CU155" i="1"/>
  <c r="CV155" i="1"/>
  <c r="CW155" i="1"/>
  <c r="CW74" i="1"/>
  <c r="CU74" i="1"/>
  <c r="CV74" i="1"/>
  <c r="CU219" i="1"/>
  <c r="CV219" i="1"/>
  <c r="CW219" i="1"/>
  <c r="CW69" i="1"/>
  <c r="CU69" i="1"/>
  <c r="CV69" i="1"/>
  <c r="CV109" i="1"/>
  <c r="CW109" i="1"/>
  <c r="CU109" i="1"/>
  <c r="CU154" i="1"/>
  <c r="CV154" i="1"/>
  <c r="CW154" i="1"/>
  <c r="CW87" i="1"/>
  <c r="CU87" i="1"/>
  <c r="CV87" i="1"/>
  <c r="CU92" i="1"/>
  <c r="CV92" i="1"/>
  <c r="CW92" i="1"/>
  <c r="CU166" i="1"/>
  <c r="CV166" i="1"/>
  <c r="CW166" i="1"/>
  <c r="CW86" i="1"/>
  <c r="CU86" i="1"/>
  <c r="CV86" i="1"/>
  <c r="CV111" i="1"/>
  <c r="CW111" i="1"/>
  <c r="CU111" i="1"/>
  <c r="CU58" i="1"/>
  <c r="CV58" i="1"/>
  <c r="CW58" i="1"/>
  <c r="CU53" i="1"/>
  <c r="CV53" i="1"/>
  <c r="CW53" i="1"/>
  <c r="CU186" i="1"/>
  <c r="CV136" i="1"/>
  <c r="CW136" i="1"/>
  <c r="CU136" i="1"/>
  <c r="CU208" i="1"/>
  <c r="CV208" i="1"/>
  <c r="CW208" i="1"/>
  <c r="CW93" i="1"/>
  <c r="CU93" i="1"/>
  <c r="CV93" i="1"/>
  <c r="CV256" i="1"/>
  <c r="CW256" i="1"/>
  <c r="CU256" i="1"/>
  <c r="CU189" i="1"/>
  <c r="CV189" i="1"/>
  <c r="CW189" i="1"/>
  <c r="CU45" i="1"/>
  <c r="CV45" i="1"/>
  <c r="CW45" i="1"/>
  <c r="CV148" i="1"/>
  <c r="CW148" i="1"/>
  <c r="CU148" i="1"/>
  <c r="CV253" i="1"/>
  <c r="CW253" i="1"/>
  <c r="CU253" i="1"/>
  <c r="CU244" i="1"/>
  <c r="CV244" i="1"/>
  <c r="CW244" i="1"/>
  <c r="CV125" i="1"/>
  <c r="CW125" i="1"/>
  <c r="CU125" i="1"/>
  <c r="CW121" i="1"/>
  <c r="CU121" i="1"/>
  <c r="CV121" i="1"/>
  <c r="CU185" i="1"/>
  <c r="CV185" i="1"/>
  <c r="CW185" i="1"/>
  <c r="CV70" i="1"/>
  <c r="CW70" i="1"/>
  <c r="CU70" i="1"/>
  <c r="CV146" i="1"/>
  <c r="CW146" i="1"/>
  <c r="CU146" i="1"/>
  <c r="CW78" i="1"/>
  <c r="CU78" i="1"/>
  <c r="CV78" i="1"/>
  <c r="CU205" i="1"/>
  <c r="CV205" i="1"/>
  <c r="CW205" i="1"/>
  <c r="CU19" i="1"/>
  <c r="CV19" i="1"/>
  <c r="CW19" i="1"/>
  <c r="CU187" i="1"/>
  <c r="CV187" i="1"/>
  <c r="CW187" i="1"/>
  <c r="CV17" i="1"/>
  <c r="CW17" i="1"/>
  <c r="CU17" i="1"/>
  <c r="CW94" i="1"/>
  <c r="CU94" i="1"/>
  <c r="CV94" i="1"/>
  <c r="CW80" i="1"/>
  <c r="CU80" i="1"/>
  <c r="CV80" i="1"/>
  <c r="CU39" i="1"/>
  <c r="CV39" i="1"/>
  <c r="CW39" i="1"/>
  <c r="CU193" i="1"/>
  <c r="CV193" i="1"/>
  <c r="CW193" i="1"/>
  <c r="CU220" i="1"/>
  <c r="CV220" i="1"/>
  <c r="CW220" i="1"/>
  <c r="CV89" i="1"/>
  <c r="CW89" i="1"/>
  <c r="CU89" i="1"/>
  <c r="CV254" i="1"/>
  <c r="CW254" i="1"/>
  <c r="CU254" i="1"/>
  <c r="CU178" i="1"/>
  <c r="CV178" i="1"/>
  <c r="CW178" i="1"/>
  <c r="CV21" i="1"/>
  <c r="CW21" i="1"/>
  <c r="CU21" i="1"/>
  <c r="CV260" i="1"/>
  <c r="CU260" i="1"/>
  <c r="CW260" i="1"/>
  <c r="CU159" i="1"/>
  <c r="CV159" i="1"/>
  <c r="CW159" i="1"/>
  <c r="CU201" i="1"/>
  <c r="CV201" i="1"/>
  <c r="CW201" i="1"/>
  <c r="CU43" i="1"/>
  <c r="CV43" i="1"/>
  <c r="CW43" i="1"/>
  <c r="CU217" i="1"/>
  <c r="CV217" i="1"/>
  <c r="CW217" i="1"/>
  <c r="CV33" i="1"/>
  <c r="CW33" i="1"/>
  <c r="CU33" i="1"/>
  <c r="CU196" i="1"/>
  <c r="CV196" i="1"/>
  <c r="CW196" i="1"/>
  <c r="CV28" i="1"/>
  <c r="CW28" i="1"/>
  <c r="CU28" i="1"/>
  <c r="CV147" i="1"/>
  <c r="CW147" i="1"/>
  <c r="CU147" i="1"/>
  <c r="CW91" i="1"/>
  <c r="CU91" i="1"/>
  <c r="CV91" i="1"/>
  <c r="CU46" i="1"/>
  <c r="CV46" i="1"/>
  <c r="CW46" i="1"/>
  <c r="CU241" i="1"/>
  <c r="CV241" i="1"/>
  <c r="CW241" i="1"/>
  <c r="CU239" i="1"/>
  <c r="CW239" i="1"/>
  <c r="CV239" i="1"/>
  <c r="CU221" i="1"/>
  <c r="CV221" i="1"/>
  <c r="CW221" i="1"/>
  <c r="CU41" i="1"/>
  <c r="CV41" i="1"/>
  <c r="CW41" i="1"/>
  <c r="CU169" i="1"/>
  <c r="CV169" i="1"/>
  <c r="CW169" i="1"/>
  <c r="CU216" i="1"/>
  <c r="CV216" i="1"/>
  <c r="CW216" i="1"/>
  <c r="CU223" i="1"/>
  <c r="CW223" i="1"/>
  <c r="CV223" i="1"/>
  <c r="CU164" i="1"/>
  <c r="CV164" i="1"/>
  <c r="CW164" i="1"/>
  <c r="CU168" i="1"/>
  <c r="CV168" i="1"/>
  <c r="CW168" i="1"/>
  <c r="CW82" i="1"/>
  <c r="CU82" i="1"/>
  <c r="CV82" i="1"/>
  <c r="CU50" i="1"/>
  <c r="CV50" i="1"/>
  <c r="CW50" i="1"/>
  <c r="CV143" i="1"/>
  <c r="CW143" i="1"/>
  <c r="CU143" i="1"/>
  <c r="CU233" i="1"/>
  <c r="CV233" i="1"/>
  <c r="CW233" i="1"/>
  <c r="CV133" i="1"/>
  <c r="CW133" i="1"/>
  <c r="CU133" i="1"/>
  <c r="CW97" i="1"/>
  <c r="CU97" i="1"/>
  <c r="CV97" i="1"/>
  <c r="CU227" i="1"/>
  <c r="CW227" i="1"/>
  <c r="CV227" i="1"/>
  <c r="CV110" i="1"/>
  <c r="CW110" i="1"/>
  <c r="CU110" i="1"/>
  <c r="CV134" i="1"/>
  <c r="CW134" i="1"/>
  <c r="CU134" i="1"/>
  <c r="CU42" i="1"/>
  <c r="CV42" i="1"/>
  <c r="CW42" i="1"/>
  <c r="CV11" i="1"/>
  <c r="CW11" i="1"/>
  <c r="CU11" i="1"/>
  <c r="CU38" i="1"/>
  <c r="CV38" i="1"/>
  <c r="CW38" i="1"/>
  <c r="CV116" i="1"/>
  <c r="CW116" i="1"/>
  <c r="CU116" i="1"/>
  <c r="CU218" i="1"/>
  <c r="CV218" i="1"/>
  <c r="CW218" i="1"/>
  <c r="CV12" i="1"/>
  <c r="CW12" i="1"/>
  <c r="CU12" i="1"/>
  <c r="CV30" i="1"/>
  <c r="CW30" i="1"/>
  <c r="CU30" i="1"/>
  <c r="CU246" i="1"/>
  <c r="CV246" i="1"/>
  <c r="CW246" i="1"/>
  <c r="CV31" i="1"/>
  <c r="CW31" i="1"/>
  <c r="CU31" i="1"/>
  <c r="CV15" i="1"/>
  <c r="CW15" i="1"/>
  <c r="CU15" i="1"/>
  <c r="CW102" i="1"/>
  <c r="CU102" i="1"/>
  <c r="CV102" i="1"/>
  <c r="CU235" i="1"/>
  <c r="CW235" i="1"/>
  <c r="CV235" i="1"/>
  <c r="CU157" i="1"/>
  <c r="CV157" i="1"/>
  <c r="CW157" i="1"/>
  <c r="CV32" i="1"/>
  <c r="CW32" i="1"/>
  <c r="CU32" i="1"/>
  <c r="CU238" i="1"/>
  <c r="CW238" i="1"/>
  <c r="CV238" i="1"/>
  <c r="CU230" i="1"/>
  <c r="CW230" i="1"/>
  <c r="CV230" i="1"/>
  <c r="CW88" i="1"/>
  <c r="CU88" i="1"/>
  <c r="CV88" i="1"/>
  <c r="CU240" i="1"/>
  <c r="CV240" i="1"/>
  <c r="CW240" i="1"/>
  <c r="CV145" i="1"/>
  <c r="CW145" i="1"/>
  <c r="CU145" i="1"/>
  <c r="CU59" i="1"/>
  <c r="CV59" i="1"/>
  <c r="CW59" i="1"/>
  <c r="CU152" i="1"/>
  <c r="CV152" i="1"/>
  <c r="CW152" i="1"/>
  <c r="CV122" i="1"/>
  <c r="CW122" i="1"/>
  <c r="CU122" i="1"/>
  <c r="CW99" i="1"/>
  <c r="CU99" i="1"/>
  <c r="CV99" i="1"/>
  <c r="CU229" i="1"/>
  <c r="CV229" i="1"/>
  <c r="CW229" i="1"/>
  <c r="CU215" i="1"/>
  <c r="CV215" i="1"/>
  <c r="CW215" i="1"/>
  <c r="CV16" i="1"/>
  <c r="CW16" i="1"/>
  <c r="CU16" i="1"/>
  <c r="CV24" i="1"/>
  <c r="CW24" i="1"/>
  <c r="CU24" i="1"/>
  <c r="CW184" i="1"/>
  <c r="CU184" i="1"/>
  <c r="CV184" i="1"/>
  <c r="CU237" i="1"/>
  <c r="CV237" i="1"/>
  <c r="CW237" i="1"/>
  <c r="CV268" i="1"/>
  <c r="CU268" i="1"/>
  <c r="CW268" i="1"/>
  <c r="CV126" i="1"/>
  <c r="CW126" i="1"/>
  <c r="CU126" i="1"/>
  <c r="CW76" i="1"/>
  <c r="CU76" i="1"/>
  <c r="CV76" i="1"/>
  <c r="CU179" i="1"/>
  <c r="CV179" i="1"/>
  <c r="CW179" i="1"/>
  <c r="CW103" i="1"/>
  <c r="CU103" i="1"/>
  <c r="CV103" i="1"/>
  <c r="CU248" i="1"/>
  <c r="CV248" i="1"/>
  <c r="CW248" i="1"/>
  <c r="CW180" i="1"/>
  <c r="CU180" i="1"/>
  <c r="CV180" i="1"/>
  <c r="CU213" i="1"/>
  <c r="CV213" i="1"/>
  <c r="CW213" i="1"/>
  <c r="CW96" i="1"/>
  <c r="CU96" i="1"/>
  <c r="CV96" i="1"/>
  <c r="CV149" i="1"/>
  <c r="CW149" i="1"/>
  <c r="CU149" i="1"/>
  <c r="CU188" i="1"/>
  <c r="CV188" i="1"/>
  <c r="CW188" i="1"/>
  <c r="CV153" i="1"/>
  <c r="CW153" i="1"/>
  <c r="CU153" i="1"/>
  <c r="CV117" i="1"/>
  <c r="CW117" i="1"/>
  <c r="CU117" i="1"/>
  <c r="CW106" i="1"/>
  <c r="CU106" i="1"/>
  <c r="CV106" i="1"/>
  <c r="CV18" i="1"/>
  <c r="CW18" i="1"/>
  <c r="CU18" i="1"/>
  <c r="CW73" i="1"/>
  <c r="CU73" i="1"/>
  <c r="CV73" i="1"/>
  <c r="CU60" i="1"/>
  <c r="CV60" i="1"/>
  <c r="CW60" i="1"/>
  <c r="CU36" i="1"/>
  <c r="CV36" i="1"/>
  <c r="CW36" i="1"/>
  <c r="CU120" i="1"/>
  <c r="CV120" i="1"/>
  <c r="CW120" i="1"/>
  <c r="CV142" i="1"/>
  <c r="CW142" i="1"/>
  <c r="CU142" i="1"/>
  <c r="CU176" i="1"/>
  <c r="CV176" i="1"/>
  <c r="CW176" i="1"/>
  <c r="CU191" i="1"/>
  <c r="CV191" i="1"/>
  <c r="CW191" i="1"/>
  <c r="CV27" i="1"/>
  <c r="CW27" i="1"/>
  <c r="CU27" i="1"/>
  <c r="CV131" i="1"/>
  <c r="CW131" i="1"/>
  <c r="CU131" i="1"/>
  <c r="CU214" i="1"/>
  <c r="CV214" i="1"/>
  <c r="CW214" i="1"/>
  <c r="CV9" i="1"/>
  <c r="CW9" i="1"/>
  <c r="CU9" i="1"/>
  <c r="CV265" i="1"/>
  <c r="CU265" i="1"/>
  <c r="CW265" i="1"/>
  <c r="CU61" i="1"/>
  <c r="CV61" i="1"/>
  <c r="CW61" i="1"/>
  <c r="CU62" i="1"/>
  <c r="CV62" i="1"/>
  <c r="CW62" i="1"/>
  <c r="CU65" i="1"/>
  <c r="CV65" i="1"/>
  <c r="CW65" i="1"/>
  <c r="CU114" i="1"/>
  <c r="CV114" i="1"/>
  <c r="CW114" i="1"/>
  <c r="CU245" i="1"/>
  <c r="CV245" i="1"/>
  <c r="CW245" i="1"/>
  <c r="CV119" i="1"/>
  <c r="CW119" i="1"/>
  <c r="CU119" i="1"/>
  <c r="CV128" i="1"/>
  <c r="CW128" i="1"/>
  <c r="CU128" i="1"/>
  <c r="CV23" i="1"/>
  <c r="CW23" i="1"/>
  <c r="CU23" i="1"/>
  <c r="CU207" i="1"/>
  <c r="CV207" i="1"/>
  <c r="CW207" i="1"/>
  <c r="CV22" i="1"/>
  <c r="CW22" i="1"/>
  <c r="CU22" i="1"/>
  <c r="CU57" i="1"/>
  <c r="CV57" i="1"/>
  <c r="CW57" i="1"/>
  <c r="CU167" i="1"/>
  <c r="CV167" i="1"/>
  <c r="CW167" i="1"/>
  <c r="CU200" i="1"/>
  <c r="CV200" i="1"/>
  <c r="CW200" i="1"/>
  <c r="CW100" i="1"/>
  <c r="CU100" i="1"/>
  <c r="CV100" i="1"/>
  <c r="DI258" i="1" l="1" a="1"/>
  <c r="DI258" i="1" s="1"/>
  <c r="DM258" i="1" s="1"/>
  <c r="DJ258" i="1" a="1"/>
  <c r="DJ258" i="1" s="1"/>
  <c r="DN258" i="1" s="1"/>
  <c r="DJ113" i="1" a="1"/>
  <c r="DJ113" i="1" s="1"/>
  <c r="DN113" i="1" s="1"/>
  <c r="DI113" i="1" a="1"/>
  <c r="DI113" i="1" s="1"/>
  <c r="DM113" i="1" s="1"/>
  <c r="DJ127" i="1" a="1"/>
  <c r="DJ127" i="1" s="1"/>
  <c r="DI127" i="1" a="1"/>
  <c r="DI127" i="1" s="1"/>
  <c r="DI210" i="1" a="1"/>
  <c r="DI210" i="1" s="1"/>
  <c r="DJ210" i="1" a="1"/>
  <c r="DJ210" i="1" s="1"/>
  <c r="DI95" i="1" a="1"/>
  <c r="DI95" i="1" s="1"/>
  <c r="DI13" i="1" a="1"/>
  <c r="DI13" i="1" s="1"/>
  <c r="DJ13" i="1" a="1"/>
  <c r="DJ13" i="1" s="1"/>
  <c r="DJ95" i="1" a="1"/>
  <c r="DJ95" i="1" s="1"/>
  <c r="DI124" i="1" a="1"/>
  <c r="DI124" i="1" s="1"/>
  <c r="DI209" i="1" a="1"/>
  <c r="DI209" i="1" s="1"/>
  <c r="DJ209" i="1" a="1"/>
  <c r="DJ209" i="1" s="1"/>
  <c r="DJ124" i="1" a="1"/>
  <c r="DJ124" i="1" s="1"/>
  <c r="DJ79" i="1" a="1"/>
  <c r="DJ79" i="1" s="1"/>
  <c r="DJ250" i="1" a="1"/>
  <c r="DJ250" i="1" s="1"/>
  <c r="DI79" i="1" a="1"/>
  <c r="DI79" i="1" s="1"/>
  <c r="DI250" i="1" a="1"/>
  <c r="DI250" i="1" s="1"/>
  <c r="DJ112" i="1" a="1"/>
  <c r="DJ112" i="1" s="1"/>
  <c r="DI112" i="1" a="1"/>
  <c r="DI112" i="1" s="1"/>
  <c r="DI270" i="1" a="1"/>
  <c r="DI270" i="1" s="1"/>
  <c r="DJ270" i="1" a="1"/>
  <c r="DJ270" i="1" s="1"/>
  <c r="DI267" i="1" a="1"/>
  <c r="DI267" i="1" s="1"/>
  <c r="DJ267" i="1" a="1"/>
  <c r="DJ267" i="1" s="1"/>
  <c r="DN267" i="1" s="1"/>
  <c r="DJ160" i="1" a="1"/>
  <c r="DJ160" i="1" s="1"/>
  <c r="DI160" i="1" a="1"/>
  <c r="DI160" i="1" s="1"/>
  <c r="DJ206" i="1" a="1"/>
  <c r="DJ206" i="1" s="1"/>
  <c r="DI206" i="1" a="1"/>
  <c r="DI206" i="1" s="1"/>
  <c r="DJ172" i="1" a="1"/>
  <c r="DJ172" i="1" s="1"/>
  <c r="DI172" i="1" a="1"/>
  <c r="DI172" i="1" s="1"/>
  <c r="DJ202" i="1" a="1"/>
  <c r="DJ202" i="1" s="1"/>
  <c r="DI202" i="1" a="1"/>
  <c r="DI202" i="1" s="1"/>
  <c r="DJ49" i="1" a="1"/>
  <c r="DJ49" i="1" s="1"/>
  <c r="DI49" i="1" a="1"/>
  <c r="DI49" i="1" s="1"/>
  <c r="DJ156" i="1" a="1"/>
  <c r="DJ156" i="1" s="1"/>
  <c r="DI156" i="1" a="1"/>
  <c r="DI156" i="1" s="1"/>
  <c r="DI181" i="1" a="1"/>
  <c r="DI181" i="1" s="1"/>
  <c r="DJ181" i="1" a="1"/>
  <c r="DJ181" i="1" s="1"/>
  <c r="DJ198" i="1" a="1"/>
  <c r="DJ198" i="1" s="1"/>
  <c r="DI198" i="1" a="1"/>
  <c r="DI198" i="1" s="1"/>
  <c r="DJ56" i="1" a="1"/>
  <c r="DJ56" i="1" s="1"/>
  <c r="DI56" i="1" a="1"/>
  <c r="DI56" i="1" s="1"/>
  <c r="DJ47" i="1" a="1"/>
  <c r="DJ47" i="1" s="1"/>
  <c r="DI47" i="1" a="1"/>
  <c r="DI47" i="1" s="1"/>
  <c r="DI221" i="1" a="1"/>
  <c r="DI221" i="1" s="1"/>
  <c r="DJ221" i="1" a="1"/>
  <c r="DJ221" i="1" s="1"/>
  <c r="DJ24" i="1" a="1"/>
  <c r="DJ24" i="1" s="1"/>
  <c r="DI24" i="1" a="1"/>
  <c r="DI24" i="1" s="1"/>
  <c r="DJ239" i="1" a="1"/>
  <c r="DJ239" i="1" s="1"/>
  <c r="DI239" i="1" a="1"/>
  <c r="DI239" i="1" s="1"/>
  <c r="DI229" i="1" a="1"/>
  <c r="DI229" i="1" s="1"/>
  <c r="DJ229" i="1" a="1"/>
  <c r="DJ229" i="1" s="1"/>
  <c r="DI99" i="1" a="1"/>
  <c r="DI99" i="1" s="1"/>
  <c r="DJ99" i="1" a="1"/>
  <c r="DJ99" i="1" s="1"/>
  <c r="DI46" i="1" a="1"/>
  <c r="DI46" i="1" s="1"/>
  <c r="DJ46" i="1" a="1"/>
  <c r="DJ46" i="1" s="1"/>
  <c r="DI59" i="1" a="1"/>
  <c r="DI59" i="1" s="1"/>
  <c r="DJ59" i="1" a="1"/>
  <c r="DJ59" i="1" s="1"/>
  <c r="DJ145" i="1" a="1"/>
  <c r="DJ145" i="1" s="1"/>
  <c r="DI145" i="1" a="1"/>
  <c r="DI145" i="1" s="1"/>
  <c r="DJ88" i="1" a="1"/>
  <c r="DJ88" i="1" s="1"/>
  <c r="DI88" i="1" a="1"/>
  <c r="DI88" i="1" s="1"/>
  <c r="DJ230" i="1" a="1"/>
  <c r="DJ230" i="1" s="1"/>
  <c r="DI230" i="1" a="1"/>
  <c r="DI230" i="1" s="1"/>
  <c r="DI238" i="1" a="1"/>
  <c r="DI238" i="1" s="1"/>
  <c r="DJ238" i="1" a="1"/>
  <c r="DJ238" i="1" s="1"/>
  <c r="DI256" i="1" a="1"/>
  <c r="DI256" i="1" s="1"/>
  <c r="DJ256" i="1" a="1"/>
  <c r="DJ256" i="1" s="1"/>
  <c r="DJ208" i="1" a="1"/>
  <c r="DJ208" i="1" s="1"/>
  <c r="DI208" i="1" a="1"/>
  <c r="DI208" i="1" s="1"/>
  <c r="DI186" i="1" a="1"/>
  <c r="DI186" i="1" s="1"/>
  <c r="DJ186" i="1" a="1"/>
  <c r="DJ186" i="1" s="1"/>
  <c r="DI111" i="1" a="1"/>
  <c r="DI111" i="1" s="1"/>
  <c r="DJ111" i="1" a="1"/>
  <c r="DJ111" i="1" s="1"/>
  <c r="DJ166" i="1" a="1"/>
  <c r="DJ166" i="1" s="1"/>
  <c r="DI166" i="1" a="1"/>
  <c r="DI166" i="1" s="1"/>
  <c r="DI87" i="1" a="1"/>
  <c r="DI87" i="1" s="1"/>
  <c r="DJ87" i="1" a="1"/>
  <c r="DJ87" i="1" s="1"/>
  <c r="DI109" i="1" a="1"/>
  <c r="DI109" i="1" s="1"/>
  <c r="DJ109" i="1" a="1"/>
  <c r="DJ109" i="1" s="1"/>
  <c r="DI219" i="1" a="1"/>
  <c r="DI219" i="1" s="1"/>
  <c r="DJ219" i="1" a="1"/>
  <c r="DJ219" i="1" s="1"/>
  <c r="DJ155" i="1" a="1"/>
  <c r="DJ155" i="1" s="1"/>
  <c r="DI155" i="1" a="1"/>
  <c r="DI155" i="1" s="1"/>
  <c r="DI115" i="1" a="1"/>
  <c r="DI115" i="1" s="1"/>
  <c r="DJ115" i="1" a="1"/>
  <c r="DJ115" i="1" s="1"/>
  <c r="DJ259" i="1" a="1"/>
  <c r="DJ259" i="1" s="1"/>
  <c r="DI259" i="1" a="1"/>
  <c r="DI259" i="1" s="1"/>
  <c r="DI44" i="1" a="1"/>
  <c r="DI44" i="1" s="1"/>
  <c r="DJ44" i="1" a="1"/>
  <c r="DJ44" i="1" s="1"/>
  <c r="DI223" i="1" a="1"/>
  <c r="DI223" i="1" s="1"/>
  <c r="DJ223" i="1" a="1"/>
  <c r="DJ223" i="1" s="1"/>
  <c r="DJ224" i="1" a="1"/>
  <c r="DJ224" i="1" s="1"/>
  <c r="DI224" i="1" a="1"/>
  <c r="DI224" i="1" s="1"/>
  <c r="DI41" i="1" a="1"/>
  <c r="DI41" i="1" s="1"/>
  <c r="DJ41" i="1" a="1"/>
  <c r="DJ41" i="1" s="1"/>
  <c r="DI203" i="1" a="1"/>
  <c r="DI203" i="1" s="1"/>
  <c r="DJ203" i="1" a="1"/>
  <c r="DJ203" i="1" s="1"/>
  <c r="DJ129" i="1" a="1"/>
  <c r="DJ129" i="1" s="1"/>
  <c r="DI129" i="1" a="1"/>
  <c r="DI129" i="1" s="1"/>
  <c r="DI183" i="1" a="1"/>
  <c r="DI183" i="1" s="1"/>
  <c r="DJ183" i="1" a="1"/>
  <c r="DJ183" i="1" s="1"/>
  <c r="DI107" i="1" a="1"/>
  <c r="DI107" i="1" s="1"/>
  <c r="DJ107" i="1" a="1"/>
  <c r="DJ107" i="1" s="1"/>
  <c r="DI68" i="1" a="1"/>
  <c r="DI68" i="1" s="1"/>
  <c r="DJ68" i="1" a="1"/>
  <c r="DJ68" i="1" s="1"/>
  <c r="DI57" i="1" a="1"/>
  <c r="DI57" i="1" s="1"/>
  <c r="DJ57" i="1" a="1"/>
  <c r="DJ57" i="1" s="1"/>
  <c r="DI119" i="1" a="1"/>
  <c r="DI119" i="1" s="1"/>
  <c r="DJ119" i="1" a="1"/>
  <c r="DJ119" i="1" s="1"/>
  <c r="DI9" i="1" a="1"/>
  <c r="DI9" i="1" s="1"/>
  <c r="DJ9" i="1" a="1"/>
  <c r="DJ9" i="1" s="1"/>
  <c r="DI32" i="1" a="1"/>
  <c r="DI32" i="1" s="1"/>
  <c r="DJ32" i="1" a="1"/>
  <c r="DJ32" i="1" s="1"/>
  <c r="DI102" i="1" a="1"/>
  <c r="DI102" i="1" s="1"/>
  <c r="DJ102" i="1" a="1"/>
  <c r="DJ102" i="1" s="1"/>
  <c r="DI246" i="1" a="1"/>
  <c r="DI246" i="1" s="1"/>
  <c r="DJ246" i="1" a="1"/>
  <c r="DJ246" i="1" s="1"/>
  <c r="DI12" i="1" a="1"/>
  <c r="DI12" i="1" s="1"/>
  <c r="DJ12" i="1" a="1"/>
  <c r="DJ12" i="1" s="1"/>
  <c r="DJ178" i="1" a="1"/>
  <c r="DJ178" i="1" s="1"/>
  <c r="DI178" i="1" a="1"/>
  <c r="DI178" i="1" s="1"/>
  <c r="DI48" i="1" a="1"/>
  <c r="DI48" i="1" s="1"/>
  <c r="DJ48" i="1" a="1"/>
  <c r="DJ48" i="1" s="1"/>
  <c r="DI249" i="1" a="1"/>
  <c r="DI249" i="1" s="1"/>
  <c r="DJ249" i="1" a="1"/>
  <c r="DJ249" i="1" s="1"/>
  <c r="DI231" i="1" a="1"/>
  <c r="DI231" i="1" s="1"/>
  <c r="DJ231" i="1" a="1"/>
  <c r="DJ231" i="1" s="1"/>
  <c r="DI55" i="1" a="1"/>
  <c r="DI55" i="1" s="1"/>
  <c r="DJ55" i="1" a="1"/>
  <c r="DJ55" i="1" s="1"/>
  <c r="DI264" i="1" a="1"/>
  <c r="DI264" i="1" s="1"/>
  <c r="DJ264" i="1" a="1"/>
  <c r="DJ264" i="1" s="1"/>
  <c r="DI257" i="1" a="1"/>
  <c r="DI257" i="1" s="1"/>
  <c r="DJ257" i="1" a="1"/>
  <c r="DJ257" i="1" s="1"/>
  <c r="DI64" i="1" a="1"/>
  <c r="DI64" i="1" s="1"/>
  <c r="DJ64" i="1" a="1"/>
  <c r="DJ64" i="1" s="1"/>
  <c r="DI130" i="1" a="1"/>
  <c r="DI130" i="1" s="1"/>
  <c r="DJ130" i="1" a="1"/>
  <c r="DJ130" i="1" s="1"/>
  <c r="DI51" i="1" a="1"/>
  <c r="DI51" i="1" s="1"/>
  <c r="DJ51" i="1" a="1"/>
  <c r="DJ51" i="1" s="1"/>
  <c r="DI89" i="1" a="1"/>
  <c r="DI89" i="1" s="1"/>
  <c r="DJ89" i="1" a="1"/>
  <c r="DJ89" i="1" s="1"/>
  <c r="DI193" i="1" a="1"/>
  <c r="DI193" i="1" s="1"/>
  <c r="DJ193" i="1" a="1"/>
  <c r="DJ193" i="1" s="1"/>
  <c r="DI80" i="1" a="1"/>
  <c r="DI80" i="1" s="1"/>
  <c r="DJ80" i="1" a="1"/>
  <c r="DJ80" i="1" s="1"/>
  <c r="DJ17" i="1" a="1"/>
  <c r="DJ17" i="1" s="1"/>
  <c r="DI17" i="1" a="1"/>
  <c r="DI17" i="1" s="1"/>
  <c r="DJ19" i="1" a="1"/>
  <c r="DJ19" i="1" s="1"/>
  <c r="DI19" i="1" a="1"/>
  <c r="DI19" i="1" s="1"/>
  <c r="DI78" i="1" a="1"/>
  <c r="DI78" i="1" s="1"/>
  <c r="DJ78" i="1" a="1"/>
  <c r="DJ78" i="1" s="1"/>
  <c r="DJ70" i="1" a="1"/>
  <c r="DJ70" i="1" s="1"/>
  <c r="DI70" i="1" a="1"/>
  <c r="DI70" i="1" s="1"/>
  <c r="DI121" i="1" a="1"/>
  <c r="DI121" i="1" s="1"/>
  <c r="DJ121" i="1" a="1"/>
  <c r="DJ121" i="1" s="1"/>
  <c r="DI244" i="1" a="1"/>
  <c r="DI244" i="1" s="1"/>
  <c r="DJ244" i="1" a="1"/>
  <c r="DJ244" i="1" s="1"/>
  <c r="DI148" i="1" a="1"/>
  <c r="DI148" i="1" s="1"/>
  <c r="DJ148" i="1" a="1"/>
  <c r="DJ148" i="1" s="1"/>
  <c r="DI123" i="1" a="1"/>
  <c r="DI123" i="1" s="1"/>
  <c r="DJ123" i="1" a="1"/>
  <c r="DJ123" i="1" s="1"/>
  <c r="DI82" i="1" a="1"/>
  <c r="DI82" i="1" s="1"/>
  <c r="DJ82" i="1" a="1"/>
  <c r="DJ82" i="1" s="1"/>
  <c r="DI105" i="1" a="1"/>
  <c r="DI105" i="1" s="1"/>
  <c r="DJ105" i="1" a="1"/>
  <c r="DJ105" i="1" s="1"/>
  <c r="DJ192" i="1" a="1"/>
  <c r="DJ192" i="1" s="1"/>
  <c r="DI192" i="1" a="1"/>
  <c r="DI192" i="1" s="1"/>
  <c r="DI25" i="1" a="1"/>
  <c r="DI25" i="1" s="1"/>
  <c r="DM25" i="1" s="1"/>
  <c r="DJ25" i="1" a="1"/>
  <c r="DJ25" i="1" s="1"/>
  <c r="DJ269" i="1" a="1"/>
  <c r="DJ269" i="1" s="1"/>
  <c r="DI269" i="1" a="1"/>
  <c r="DI269" i="1" s="1"/>
  <c r="DI144" i="1" a="1"/>
  <c r="DI144" i="1" s="1"/>
  <c r="DJ144" i="1" a="1"/>
  <c r="DJ144" i="1" s="1"/>
  <c r="DI100" i="1" a="1"/>
  <c r="DI100" i="1" s="1"/>
  <c r="DJ100" i="1" a="1"/>
  <c r="DJ100" i="1" s="1"/>
  <c r="DI265" i="1" a="1"/>
  <c r="DI265" i="1" s="1"/>
  <c r="DJ265" i="1" a="1"/>
  <c r="DJ265" i="1" s="1"/>
  <c r="DJ196" i="1" a="1"/>
  <c r="DJ196" i="1" s="1"/>
  <c r="DI196" i="1" a="1"/>
  <c r="DI196" i="1" s="1"/>
  <c r="DI43" i="1" a="1"/>
  <c r="DI43" i="1" s="1"/>
  <c r="DJ43" i="1" a="1"/>
  <c r="DJ43" i="1" s="1"/>
  <c r="DI252" i="1" a="1"/>
  <c r="DI252" i="1" s="1"/>
  <c r="DJ252" i="1" a="1"/>
  <c r="DJ252" i="1" s="1"/>
  <c r="DI66" i="1" a="1"/>
  <c r="DI66" i="1" s="1"/>
  <c r="DJ66" i="1" a="1"/>
  <c r="DJ66" i="1" s="1"/>
  <c r="DI175" i="1" a="1"/>
  <c r="DI175" i="1" s="1"/>
  <c r="DJ175" i="1" a="1"/>
  <c r="DJ175" i="1" s="1"/>
  <c r="DI138" i="1" a="1"/>
  <c r="DI138" i="1" s="1"/>
  <c r="DJ138" i="1" a="1"/>
  <c r="DJ138" i="1" s="1"/>
  <c r="DI173" i="1" a="1"/>
  <c r="DI173" i="1" s="1"/>
  <c r="DJ173" i="1" a="1"/>
  <c r="DJ173" i="1" s="1"/>
  <c r="DJ204" i="1" a="1"/>
  <c r="DJ204" i="1" s="1"/>
  <c r="DI204" i="1" a="1"/>
  <c r="DI204" i="1" s="1"/>
  <c r="DJ81" i="1" a="1"/>
  <c r="DJ81" i="1" s="1"/>
  <c r="DI81" i="1" a="1"/>
  <c r="DI81" i="1" s="1"/>
  <c r="DJ263" i="1" a="1"/>
  <c r="DJ263" i="1" s="1"/>
  <c r="DI263" i="1" a="1"/>
  <c r="DI263" i="1" s="1"/>
  <c r="DI195" i="1" a="1"/>
  <c r="DI195" i="1" s="1"/>
  <c r="DJ195" i="1" a="1"/>
  <c r="DJ195" i="1" s="1"/>
  <c r="DJ170" i="1" a="1"/>
  <c r="DJ170" i="1" s="1"/>
  <c r="DI170" i="1" a="1"/>
  <c r="DI170" i="1" s="1"/>
  <c r="DJ228" i="1" a="1"/>
  <c r="DJ228" i="1" s="1"/>
  <c r="DI228" i="1" a="1"/>
  <c r="DI228" i="1" s="1"/>
  <c r="DI83" i="1" a="1"/>
  <c r="DI83" i="1" s="1"/>
  <c r="DJ83" i="1" a="1"/>
  <c r="DJ83" i="1" s="1"/>
  <c r="DI38" i="1" a="1"/>
  <c r="DI38" i="1" s="1"/>
  <c r="DJ38" i="1" a="1"/>
  <c r="DJ38" i="1" s="1"/>
  <c r="DI11" i="1" a="1"/>
  <c r="DI11" i="1" s="1"/>
  <c r="DJ11" i="1" a="1"/>
  <c r="DJ11" i="1" s="1"/>
  <c r="DJ42" i="1" a="1"/>
  <c r="DJ42" i="1" s="1"/>
  <c r="DI42" i="1" a="1"/>
  <c r="DI42" i="1" s="1"/>
  <c r="DI67" i="1" a="1"/>
  <c r="DI67" i="1" s="1"/>
  <c r="DJ67" i="1" a="1"/>
  <c r="DJ67" i="1" s="1"/>
  <c r="DI110" i="1" a="1"/>
  <c r="DI110" i="1" s="1"/>
  <c r="DJ110" i="1" a="1"/>
  <c r="DJ110" i="1" s="1"/>
  <c r="DI227" i="1" a="1"/>
  <c r="DI227" i="1" s="1"/>
  <c r="DJ227" i="1" a="1"/>
  <c r="DJ227" i="1" s="1"/>
  <c r="DI90" i="1" a="1"/>
  <c r="DI90" i="1" s="1"/>
  <c r="DJ90" i="1" a="1"/>
  <c r="DJ90" i="1" s="1"/>
  <c r="DJ212" i="1" a="1"/>
  <c r="DJ212" i="1" s="1"/>
  <c r="DI212" i="1" a="1"/>
  <c r="DI212" i="1" s="1"/>
  <c r="DJ243" i="1" a="1"/>
  <c r="DJ243" i="1" s="1"/>
  <c r="DI243" i="1" a="1"/>
  <c r="DI243" i="1" s="1"/>
  <c r="DI37" i="1" a="1"/>
  <c r="DI37" i="1" s="1"/>
  <c r="DJ37" i="1" a="1"/>
  <c r="DJ37" i="1" s="1"/>
  <c r="DJ142" i="1" a="1"/>
  <c r="DJ142" i="1" s="1"/>
  <c r="DI142" i="1" a="1"/>
  <c r="DI142" i="1" s="1"/>
  <c r="DI36" i="1" a="1"/>
  <c r="DI36" i="1" s="1"/>
  <c r="DJ36" i="1" a="1"/>
  <c r="DJ36" i="1" s="1"/>
  <c r="DI73" i="1" a="1"/>
  <c r="DI73" i="1" s="1"/>
  <c r="DJ73" i="1" a="1"/>
  <c r="DJ73" i="1" s="1"/>
  <c r="DI106" i="1" a="1"/>
  <c r="DI106" i="1" s="1"/>
  <c r="DJ106" i="1" a="1"/>
  <c r="DJ106" i="1" s="1"/>
  <c r="DI153" i="1" a="1"/>
  <c r="DI153" i="1" s="1"/>
  <c r="DJ153" i="1" a="1"/>
  <c r="DJ153" i="1" s="1"/>
  <c r="DI149" i="1" a="1"/>
  <c r="DI149" i="1" s="1"/>
  <c r="DJ149" i="1" a="1"/>
  <c r="DJ149" i="1" s="1"/>
  <c r="DI213" i="1" a="1"/>
  <c r="DI213" i="1" s="1"/>
  <c r="DJ213" i="1" a="1"/>
  <c r="DJ213" i="1" s="1"/>
  <c r="DI248" i="1" a="1"/>
  <c r="DI248" i="1" s="1"/>
  <c r="DJ248" i="1" a="1"/>
  <c r="DJ248" i="1" s="1"/>
  <c r="DI179" i="1" a="1"/>
  <c r="DI179" i="1" s="1"/>
  <c r="DJ179" i="1" a="1"/>
  <c r="DJ179" i="1" s="1"/>
  <c r="DJ126" i="1" a="1"/>
  <c r="DJ126" i="1" s="1"/>
  <c r="DI126" i="1" a="1"/>
  <c r="DI126" i="1" s="1"/>
  <c r="DI237" i="1" a="1"/>
  <c r="DI237" i="1" s="1"/>
  <c r="DJ237" i="1" a="1"/>
  <c r="DJ237" i="1" s="1"/>
  <c r="DI161" i="1" a="1"/>
  <c r="DI161" i="1" s="1"/>
  <c r="DJ161" i="1" a="1"/>
  <c r="DJ161" i="1" s="1"/>
  <c r="DI211" i="1" a="1"/>
  <c r="DI211" i="1" s="1"/>
  <c r="DJ211" i="1" a="1"/>
  <c r="DJ211" i="1" s="1"/>
  <c r="DI7" i="1" a="1"/>
  <c r="DI7" i="1" s="1"/>
  <c r="DJ7" i="1" a="1"/>
  <c r="DJ7" i="1" s="1"/>
  <c r="DI54" i="1" a="1"/>
  <c r="DI54" i="1" s="1"/>
  <c r="DJ54" i="1" a="1"/>
  <c r="DJ54" i="1" s="1"/>
  <c r="DI207" i="1" a="1"/>
  <c r="DI207" i="1" s="1"/>
  <c r="DJ207" i="1" a="1"/>
  <c r="DJ207" i="1" s="1"/>
  <c r="DI245" i="1" a="1"/>
  <c r="DI245" i="1" s="1"/>
  <c r="DJ245" i="1" a="1"/>
  <c r="DJ245" i="1" s="1"/>
  <c r="DI61" i="1" a="1"/>
  <c r="DI61" i="1" s="1"/>
  <c r="DJ61" i="1" a="1"/>
  <c r="DJ61" i="1" s="1"/>
  <c r="DJ191" i="1" a="1"/>
  <c r="DJ191" i="1" s="1"/>
  <c r="DI191" i="1" a="1"/>
  <c r="DI191" i="1" s="1"/>
  <c r="DI217" i="1" a="1"/>
  <c r="DI217" i="1" s="1"/>
  <c r="DJ217" i="1" a="1"/>
  <c r="DJ217" i="1" s="1"/>
  <c r="DI201" i="1" a="1"/>
  <c r="DI201" i="1" s="1"/>
  <c r="DJ201" i="1" a="1"/>
  <c r="DJ201" i="1" s="1"/>
  <c r="DI260" i="1" a="1"/>
  <c r="DI260" i="1" s="1"/>
  <c r="DJ260" i="1" a="1"/>
  <c r="DJ260" i="1" s="1"/>
  <c r="DI116" i="1" a="1"/>
  <c r="DI116" i="1" s="1"/>
  <c r="DJ116" i="1" a="1"/>
  <c r="DJ116" i="1" s="1"/>
  <c r="DI34" i="1" a="1"/>
  <c r="DI34" i="1" s="1"/>
  <c r="DJ34" i="1" a="1"/>
  <c r="DJ34" i="1" s="1"/>
  <c r="DJ63" i="1" a="1"/>
  <c r="DJ63" i="1" s="1"/>
  <c r="DI63" i="1" a="1"/>
  <c r="DI63" i="1" s="1"/>
  <c r="DJ40" i="1" a="1"/>
  <c r="DJ40" i="1" s="1"/>
  <c r="DI40" i="1" a="1"/>
  <c r="DI40" i="1" s="1"/>
  <c r="DJ182" i="1" a="1"/>
  <c r="DJ182" i="1" s="1"/>
  <c r="DI182" i="1" a="1"/>
  <c r="DI182" i="1" s="1"/>
  <c r="DI104" i="1" a="1"/>
  <c r="DI104" i="1" s="1"/>
  <c r="DJ104" i="1" a="1"/>
  <c r="DJ104" i="1" s="1"/>
  <c r="DJ190" i="1" a="1"/>
  <c r="DJ190" i="1" s="1"/>
  <c r="DI190" i="1" a="1"/>
  <c r="DI190" i="1" s="1"/>
  <c r="DJ251" i="1" a="1"/>
  <c r="DJ251" i="1" s="1"/>
  <c r="DI251" i="1" a="1"/>
  <c r="DI251" i="1" s="1"/>
  <c r="DI177" i="1" a="1"/>
  <c r="DI177" i="1" s="1"/>
  <c r="DJ177" i="1" a="1"/>
  <c r="DJ177" i="1" s="1"/>
  <c r="DI151" i="1" a="1"/>
  <c r="DI151" i="1" s="1"/>
  <c r="DJ151" i="1" a="1"/>
  <c r="DJ151" i="1" s="1"/>
  <c r="DI35" i="1" a="1"/>
  <c r="DI35" i="1" s="1"/>
  <c r="DJ35" i="1" a="1"/>
  <c r="DJ35" i="1" s="1"/>
  <c r="DI234" i="1" a="1"/>
  <c r="DI234" i="1" s="1"/>
  <c r="DJ234" i="1" a="1"/>
  <c r="DJ234" i="1" s="1"/>
  <c r="DJ247" i="1" a="1"/>
  <c r="DJ247" i="1" s="1"/>
  <c r="DI247" i="1" a="1"/>
  <c r="DI247" i="1" s="1"/>
  <c r="DI261" i="1" a="1"/>
  <c r="DI261" i="1" s="1"/>
  <c r="DJ261" i="1" a="1"/>
  <c r="DJ261" i="1" s="1"/>
  <c r="DI184" i="1" a="1"/>
  <c r="DI184" i="1" s="1"/>
  <c r="DJ184" i="1" a="1"/>
  <c r="DJ184" i="1" s="1"/>
  <c r="DI16" i="1" a="1"/>
  <c r="DI16" i="1" s="1"/>
  <c r="DJ16" i="1" a="1"/>
  <c r="DJ16" i="1" s="1"/>
  <c r="DI215" i="1" a="1"/>
  <c r="DI215" i="1" s="1"/>
  <c r="DJ215" i="1" a="1"/>
  <c r="DJ215" i="1" s="1"/>
  <c r="DI241" i="1" a="1"/>
  <c r="DI241" i="1" s="1"/>
  <c r="DJ241" i="1" a="1"/>
  <c r="DJ241" i="1" s="1"/>
  <c r="DI122" i="1" a="1"/>
  <c r="DI122" i="1" s="1"/>
  <c r="DJ122" i="1" a="1"/>
  <c r="DJ122" i="1" s="1"/>
  <c r="DJ152" i="1" a="1"/>
  <c r="DJ152" i="1" s="1"/>
  <c r="DI152" i="1" a="1"/>
  <c r="DI152" i="1" s="1"/>
  <c r="DI91" i="1" a="1"/>
  <c r="DI91" i="1" s="1"/>
  <c r="DJ91" i="1" a="1"/>
  <c r="DJ91" i="1" s="1"/>
  <c r="DI240" i="1" a="1"/>
  <c r="DI240" i="1" s="1"/>
  <c r="DJ240" i="1" a="1"/>
  <c r="DJ240" i="1" s="1"/>
  <c r="DI147" i="1" a="1"/>
  <c r="DI147" i="1" s="1"/>
  <c r="DJ147" i="1" a="1"/>
  <c r="DJ147" i="1" s="1"/>
  <c r="DI28" i="1" a="1"/>
  <c r="DI28" i="1" s="1"/>
  <c r="DJ28" i="1" a="1"/>
  <c r="DJ28" i="1" s="1"/>
  <c r="DI189" i="1" a="1"/>
  <c r="DI189" i="1" s="1"/>
  <c r="DJ189" i="1" a="1"/>
  <c r="DJ189" i="1" s="1"/>
  <c r="DI93" i="1" a="1"/>
  <c r="DI93" i="1" s="1"/>
  <c r="DJ93" i="1" a="1"/>
  <c r="DJ93" i="1" s="1"/>
  <c r="DI136" i="1" a="1"/>
  <c r="DI136" i="1" s="1"/>
  <c r="DJ136" i="1" a="1"/>
  <c r="DJ136" i="1" s="1"/>
  <c r="DI53" i="1" a="1"/>
  <c r="DI53" i="1" s="1"/>
  <c r="DJ53" i="1" a="1"/>
  <c r="DJ53" i="1" s="1"/>
  <c r="DJ58" i="1" a="1"/>
  <c r="DJ58" i="1" s="1"/>
  <c r="DI58" i="1" a="1"/>
  <c r="DI58" i="1" s="1"/>
  <c r="DI86" i="1" a="1"/>
  <c r="DI86" i="1" s="1"/>
  <c r="DJ86" i="1" a="1"/>
  <c r="DJ86" i="1" s="1"/>
  <c r="DI92" i="1" a="1"/>
  <c r="DI92" i="1" s="1"/>
  <c r="DJ92" i="1" a="1"/>
  <c r="DJ92" i="1" s="1"/>
  <c r="DI154" i="1" a="1"/>
  <c r="DI154" i="1" s="1"/>
  <c r="DJ154" i="1" a="1"/>
  <c r="DJ154" i="1" s="1"/>
  <c r="DI69" i="1" a="1"/>
  <c r="DI69" i="1" s="1"/>
  <c r="DJ69" i="1" a="1"/>
  <c r="DJ69" i="1" s="1"/>
  <c r="DJ74" i="1" a="1"/>
  <c r="DJ74" i="1" s="1"/>
  <c r="DI74" i="1" a="1"/>
  <c r="DI74" i="1" s="1"/>
  <c r="DI20" i="1" a="1"/>
  <c r="DI20" i="1" s="1"/>
  <c r="DJ20" i="1" a="1"/>
  <c r="DJ20" i="1" s="1"/>
  <c r="DJ163" i="1" a="1"/>
  <c r="DJ163" i="1" s="1"/>
  <c r="DI163" i="1" a="1"/>
  <c r="DI163" i="1" s="1"/>
  <c r="DJ168" i="1" a="1"/>
  <c r="DJ168" i="1" s="1"/>
  <c r="DI168" i="1" a="1"/>
  <c r="DI168" i="1" s="1"/>
  <c r="DJ164" i="1" a="1"/>
  <c r="DJ164" i="1" s="1"/>
  <c r="DI164" i="1" a="1"/>
  <c r="DI164" i="1" s="1"/>
  <c r="DJ137" i="1" a="1"/>
  <c r="DJ137" i="1" s="1"/>
  <c r="DI137" i="1" a="1"/>
  <c r="DI137" i="1" s="1"/>
  <c r="DI169" i="1" a="1"/>
  <c r="DI169" i="1" s="1"/>
  <c r="DJ169" i="1" a="1"/>
  <c r="DJ169" i="1" s="1"/>
  <c r="DI141" i="1" a="1"/>
  <c r="DI141" i="1" s="1"/>
  <c r="DJ141" i="1" a="1"/>
  <c r="DJ141" i="1" s="1"/>
  <c r="DJ158" i="1" a="1"/>
  <c r="DJ158" i="1" s="1"/>
  <c r="DI158" i="1" a="1"/>
  <c r="DI158" i="1" s="1"/>
  <c r="DI197" i="1" a="1"/>
  <c r="DI197" i="1" s="1"/>
  <c r="DJ197" i="1" a="1"/>
  <c r="DJ197" i="1" s="1"/>
  <c r="DI165" i="1" a="1"/>
  <c r="DI165" i="1" s="1"/>
  <c r="DJ165" i="1" a="1"/>
  <c r="DJ165" i="1" s="1"/>
  <c r="DI199" i="1" a="1"/>
  <c r="DI199" i="1" s="1"/>
  <c r="DJ199" i="1" a="1"/>
  <c r="DJ199" i="1" s="1"/>
  <c r="DJ200" i="1" a="1"/>
  <c r="DJ200" i="1" s="1"/>
  <c r="DI200" i="1" a="1"/>
  <c r="DI200" i="1" s="1"/>
  <c r="DI23" i="1" a="1"/>
  <c r="DI23" i="1" s="1"/>
  <c r="DJ23" i="1" a="1"/>
  <c r="DJ23" i="1" s="1"/>
  <c r="DI62" i="1" a="1"/>
  <c r="DI62" i="1" s="1"/>
  <c r="DJ62" i="1" a="1"/>
  <c r="DJ62" i="1" s="1"/>
  <c r="DI131" i="1" a="1"/>
  <c r="DI131" i="1" s="1"/>
  <c r="DJ131" i="1" a="1"/>
  <c r="DJ131" i="1" s="1"/>
  <c r="DJ33" i="1" a="1"/>
  <c r="DJ33" i="1" s="1"/>
  <c r="DI33" i="1" a="1"/>
  <c r="DI33" i="1" s="1"/>
  <c r="DJ31" i="1" a="1"/>
  <c r="DJ31" i="1" s="1"/>
  <c r="DI31" i="1" a="1"/>
  <c r="DI31" i="1" s="1"/>
  <c r="DI30" i="1" a="1"/>
  <c r="DI30" i="1" s="1"/>
  <c r="DJ30" i="1" a="1"/>
  <c r="DJ30" i="1" s="1"/>
  <c r="DI21" i="1" a="1"/>
  <c r="DI21" i="1" s="1"/>
  <c r="DJ21" i="1" a="1"/>
  <c r="DJ21" i="1" s="1"/>
  <c r="DI242" i="1" a="1"/>
  <c r="DI242" i="1" s="1"/>
  <c r="DJ242" i="1" a="1"/>
  <c r="DJ242" i="1" s="1"/>
  <c r="DJ10" i="1" a="1"/>
  <c r="DJ10" i="1" s="1"/>
  <c r="DI10" i="1" a="1"/>
  <c r="DI10" i="1" s="1"/>
  <c r="DI139" i="1" a="1"/>
  <c r="DI139" i="1" s="1"/>
  <c r="DJ139" i="1" a="1"/>
  <c r="DJ139" i="1" s="1"/>
  <c r="DI171" i="1" a="1"/>
  <c r="DI171" i="1" s="1"/>
  <c r="DJ171" i="1" a="1"/>
  <c r="DJ171" i="1" s="1"/>
  <c r="DJ162" i="1" a="1"/>
  <c r="DJ162" i="1" s="1"/>
  <c r="DI162" i="1" a="1"/>
  <c r="DI162" i="1" s="1"/>
  <c r="DI77" i="1" a="1"/>
  <c r="DI77" i="1" s="1"/>
  <c r="DJ77" i="1" a="1"/>
  <c r="DJ77" i="1" s="1"/>
  <c r="DI236" i="1" a="1"/>
  <c r="DI236" i="1" s="1"/>
  <c r="DJ236" i="1" a="1"/>
  <c r="DJ236" i="1" s="1"/>
  <c r="DJ26" i="1" a="1"/>
  <c r="DJ26" i="1" s="1"/>
  <c r="DI26" i="1" a="1"/>
  <c r="DI26" i="1" s="1"/>
  <c r="DI85" i="1" a="1"/>
  <c r="DI85" i="1" s="1"/>
  <c r="DJ85" i="1" a="1"/>
  <c r="DJ85" i="1" s="1"/>
  <c r="DI101" i="1" a="1"/>
  <c r="DI101" i="1" s="1"/>
  <c r="DJ101" i="1" a="1"/>
  <c r="DJ101" i="1" s="1"/>
  <c r="DJ266" i="1" a="1"/>
  <c r="DJ266" i="1" s="1"/>
  <c r="DI266" i="1" a="1"/>
  <c r="DI266" i="1" s="1"/>
  <c r="DI254" i="1" a="1"/>
  <c r="DI254" i="1" s="1"/>
  <c r="DJ254" i="1" a="1"/>
  <c r="DJ254" i="1" s="1"/>
  <c r="DJ220" i="1" a="1"/>
  <c r="DJ220" i="1" s="1"/>
  <c r="DI220" i="1" a="1"/>
  <c r="DI220" i="1" s="1"/>
  <c r="DI39" i="1" a="1"/>
  <c r="DI39" i="1" s="1"/>
  <c r="DJ39" i="1" a="1"/>
  <c r="DJ39" i="1" s="1"/>
  <c r="DI94" i="1" a="1"/>
  <c r="DI94" i="1" s="1"/>
  <c r="DJ94" i="1" a="1"/>
  <c r="DJ94" i="1" s="1"/>
  <c r="DI187" i="1" a="1"/>
  <c r="DI187" i="1" s="1"/>
  <c r="DJ187" i="1" a="1"/>
  <c r="DJ187" i="1" s="1"/>
  <c r="DI205" i="1" a="1"/>
  <c r="DI205" i="1" s="1"/>
  <c r="DJ205" i="1" a="1"/>
  <c r="DJ205" i="1" s="1"/>
  <c r="DI146" i="1" a="1"/>
  <c r="DI146" i="1" s="1"/>
  <c r="DJ146" i="1" a="1"/>
  <c r="DJ146" i="1" s="1"/>
  <c r="DI185" i="1" a="1"/>
  <c r="DI185" i="1" s="1"/>
  <c r="DJ185" i="1" a="1"/>
  <c r="DJ185" i="1" s="1"/>
  <c r="DI125" i="1" a="1"/>
  <c r="DI125" i="1" s="1"/>
  <c r="DJ125" i="1" a="1"/>
  <c r="DJ125" i="1" s="1"/>
  <c r="DI253" i="1" a="1"/>
  <c r="DI253" i="1" s="1"/>
  <c r="DJ253" i="1" a="1"/>
  <c r="DJ253" i="1" s="1"/>
  <c r="DI45" i="1" a="1"/>
  <c r="DI45" i="1" s="1"/>
  <c r="DJ45" i="1" a="1"/>
  <c r="DJ45" i="1" s="1"/>
  <c r="DI50" i="1" a="1"/>
  <c r="DI50" i="1" s="1"/>
  <c r="DJ50" i="1" a="1"/>
  <c r="DJ50" i="1" s="1"/>
  <c r="DI108" i="1" a="1"/>
  <c r="DI108" i="1" s="1"/>
  <c r="DJ108" i="1" a="1"/>
  <c r="DJ108" i="1" s="1"/>
  <c r="DJ216" i="1" a="1"/>
  <c r="DJ216" i="1" s="1"/>
  <c r="DI216" i="1" a="1"/>
  <c r="DI216" i="1" s="1"/>
  <c r="DJ255" i="1" a="1"/>
  <c r="DJ255" i="1" s="1"/>
  <c r="DI255" i="1" a="1"/>
  <c r="DI255" i="1" s="1"/>
  <c r="DI71" i="1" a="1"/>
  <c r="DI71" i="1" s="1"/>
  <c r="DJ71" i="1" a="1"/>
  <c r="DJ71" i="1" s="1"/>
  <c r="DJ8" i="1" a="1"/>
  <c r="DJ8" i="1" s="1"/>
  <c r="DI8" i="1" a="1"/>
  <c r="DI8" i="1" s="1"/>
  <c r="DI22" i="1" a="1"/>
  <c r="DI22" i="1" s="1"/>
  <c r="DJ22" i="1" a="1"/>
  <c r="DJ22" i="1" s="1"/>
  <c r="DI114" i="1" a="1"/>
  <c r="DI114" i="1" s="1"/>
  <c r="DJ114" i="1" a="1"/>
  <c r="DJ114" i="1" s="1"/>
  <c r="DI27" i="1" a="1"/>
  <c r="DI27" i="1" s="1"/>
  <c r="DJ27" i="1" a="1"/>
  <c r="DJ27" i="1" s="1"/>
  <c r="DI235" i="1" a="1"/>
  <c r="DI235" i="1" s="1"/>
  <c r="DJ235" i="1" a="1"/>
  <c r="DJ235" i="1" s="1"/>
  <c r="DJ194" i="1" a="1"/>
  <c r="DJ194" i="1" s="1"/>
  <c r="DI194" i="1" a="1"/>
  <c r="DI194" i="1" s="1"/>
  <c r="DI140" i="1" a="1"/>
  <c r="DI140" i="1" s="1"/>
  <c r="DJ140" i="1" a="1"/>
  <c r="DJ140" i="1" s="1"/>
  <c r="DI52" i="1" a="1"/>
  <c r="DI52" i="1" s="1"/>
  <c r="DJ52" i="1" a="1"/>
  <c r="DJ52" i="1" s="1"/>
  <c r="DJ226" i="1" a="1"/>
  <c r="DJ226" i="1" s="1"/>
  <c r="DI226" i="1" a="1"/>
  <c r="DI226" i="1" s="1"/>
  <c r="DJ150" i="1" a="1"/>
  <c r="DJ150" i="1" s="1"/>
  <c r="DI150" i="1" a="1"/>
  <c r="DI150" i="1" s="1"/>
  <c r="DJ72" i="1" a="1"/>
  <c r="DJ72" i="1" s="1"/>
  <c r="DI72" i="1" a="1"/>
  <c r="DI72" i="1" s="1"/>
  <c r="DI225" i="1" a="1"/>
  <c r="DI225" i="1" s="1"/>
  <c r="DJ225" i="1" a="1"/>
  <c r="DJ225" i="1" s="1"/>
  <c r="DI14" i="1" a="1"/>
  <c r="DI14" i="1" s="1"/>
  <c r="DJ14" i="1" a="1"/>
  <c r="DJ14" i="1" s="1"/>
  <c r="DI98" i="1" a="1"/>
  <c r="DI98" i="1" s="1"/>
  <c r="DJ98" i="1" a="1"/>
  <c r="DJ98" i="1" s="1"/>
  <c r="DJ174" i="1" a="1"/>
  <c r="DJ174" i="1" s="1"/>
  <c r="DI174" i="1" a="1"/>
  <c r="DI174" i="1" s="1"/>
  <c r="DI84" i="1" a="1"/>
  <c r="DI84" i="1" s="1"/>
  <c r="DJ84" i="1" a="1"/>
  <c r="DJ84" i="1" s="1"/>
  <c r="DI232" i="1" a="1"/>
  <c r="DI232" i="1" s="1"/>
  <c r="DJ232" i="1" a="1"/>
  <c r="DJ232" i="1" s="1"/>
  <c r="DJ118" i="1" a="1"/>
  <c r="DJ118" i="1" s="1"/>
  <c r="DI118" i="1" a="1"/>
  <c r="DI118" i="1" s="1"/>
  <c r="DI132" i="1" a="1"/>
  <c r="DI132" i="1" s="1"/>
  <c r="DJ132" i="1" a="1"/>
  <c r="DJ132" i="1" s="1"/>
  <c r="DJ134" i="1" a="1"/>
  <c r="DJ134" i="1" s="1"/>
  <c r="DI134" i="1" a="1"/>
  <c r="DI134" i="1" s="1"/>
  <c r="DJ222" i="1" a="1"/>
  <c r="DJ222" i="1" s="1"/>
  <c r="DI222" i="1" a="1"/>
  <c r="DI222" i="1" s="1"/>
  <c r="DI271" i="1" a="1"/>
  <c r="DI271" i="1" s="1"/>
  <c r="DJ271" i="1" a="1"/>
  <c r="DJ271" i="1" s="1"/>
  <c r="DI97" i="1" a="1"/>
  <c r="DI97" i="1" s="1"/>
  <c r="DJ97" i="1" a="1"/>
  <c r="DJ97" i="1" s="1"/>
  <c r="DI133" i="1" a="1"/>
  <c r="DI133" i="1" s="1"/>
  <c r="DJ133" i="1" a="1"/>
  <c r="DJ133" i="1" s="1"/>
  <c r="DJ233" i="1" a="1"/>
  <c r="DJ233" i="1" s="1"/>
  <c r="DI233" i="1" a="1"/>
  <c r="DI233" i="1" s="1"/>
  <c r="DI143" i="1" a="1"/>
  <c r="DI143" i="1" s="1"/>
  <c r="DJ143" i="1" a="1"/>
  <c r="DJ143" i="1" s="1"/>
  <c r="DJ176" i="1" a="1"/>
  <c r="DJ176" i="1" s="1"/>
  <c r="DI176" i="1" a="1"/>
  <c r="DI176" i="1" s="1"/>
  <c r="DI120" i="1" a="1"/>
  <c r="DI120" i="1" s="1"/>
  <c r="DJ120" i="1" a="1"/>
  <c r="DJ120" i="1" s="1"/>
  <c r="DI60" i="1" a="1"/>
  <c r="DI60" i="1" s="1"/>
  <c r="DJ60" i="1" a="1"/>
  <c r="DJ60" i="1" s="1"/>
  <c r="DI18" i="1" a="1"/>
  <c r="DI18" i="1" s="1"/>
  <c r="DJ18" i="1" a="1"/>
  <c r="DJ18" i="1" s="1"/>
  <c r="DI117" i="1" a="1"/>
  <c r="DI117" i="1" s="1"/>
  <c r="DJ117" i="1" a="1"/>
  <c r="DJ117" i="1" s="1"/>
  <c r="DJ188" i="1" a="1"/>
  <c r="DJ188" i="1" s="1"/>
  <c r="DI188" i="1" a="1"/>
  <c r="DI188" i="1" s="1"/>
  <c r="DI96" i="1" a="1"/>
  <c r="DI96" i="1" s="1"/>
  <c r="DJ96" i="1" a="1"/>
  <c r="DJ96" i="1" s="1"/>
  <c r="DI180" i="1" a="1"/>
  <c r="DI180" i="1" s="1"/>
  <c r="DJ180" i="1" a="1"/>
  <c r="DJ180" i="1" s="1"/>
  <c r="DI103" i="1" a="1"/>
  <c r="DI103" i="1" s="1"/>
  <c r="DJ103" i="1" a="1"/>
  <c r="DJ103" i="1" s="1"/>
  <c r="DI76" i="1" a="1"/>
  <c r="DI76" i="1" s="1"/>
  <c r="DJ76" i="1" a="1"/>
  <c r="DJ76" i="1" s="1"/>
  <c r="DI268" i="1" a="1"/>
  <c r="DI268" i="1" s="1"/>
  <c r="DJ268" i="1" a="1"/>
  <c r="DJ268" i="1" s="1"/>
  <c r="DI75" i="1" a="1"/>
  <c r="DI75" i="1" s="1"/>
  <c r="DJ75" i="1" a="1"/>
  <c r="DJ75" i="1" s="1"/>
  <c r="DI135" i="1" a="1"/>
  <c r="DI135" i="1" s="1"/>
  <c r="DJ135" i="1" a="1"/>
  <c r="DJ135" i="1" s="1"/>
  <c r="DI29" i="1" a="1"/>
  <c r="DI29" i="1" s="1"/>
  <c r="DJ29" i="1" a="1"/>
  <c r="DJ29" i="1" s="1"/>
  <c r="DI262" i="1" a="1"/>
  <c r="DI262" i="1" s="1"/>
  <c r="DJ262" i="1" a="1"/>
  <c r="DJ262" i="1" s="1"/>
  <c r="DI167" i="1" a="1"/>
  <c r="DI167" i="1" s="1"/>
  <c r="DJ167" i="1" a="1"/>
  <c r="DJ167" i="1" s="1"/>
  <c r="DI128" i="1" a="1"/>
  <c r="DI128" i="1" s="1"/>
  <c r="DJ128" i="1" a="1"/>
  <c r="DJ128" i="1" s="1"/>
  <c r="DI65" i="1" a="1"/>
  <c r="DI65" i="1" s="1"/>
  <c r="DJ65" i="1" a="1"/>
  <c r="DJ65" i="1" s="1"/>
  <c r="DJ214" i="1" a="1"/>
  <c r="DJ214" i="1" s="1"/>
  <c r="DI214" i="1" a="1"/>
  <c r="DI214" i="1" s="1"/>
  <c r="DI157" i="1" a="1"/>
  <c r="DI157" i="1" s="1"/>
  <c r="DJ157" i="1" a="1"/>
  <c r="DJ157" i="1" s="1"/>
  <c r="DJ15" i="1" a="1"/>
  <c r="DJ15" i="1" s="1"/>
  <c r="DI15" i="1" a="1"/>
  <c r="DI15" i="1" s="1"/>
  <c r="DI159" i="1" a="1"/>
  <c r="DI159" i="1" s="1"/>
  <c r="DJ159" i="1" a="1"/>
  <c r="DJ159" i="1" s="1"/>
  <c r="DJ218" i="1" a="1"/>
  <c r="DJ218" i="1" s="1"/>
  <c r="DI218" i="1" a="1"/>
  <c r="DI218" i="1" s="1"/>
  <c r="DV180" i="1" l="1"/>
  <c r="DV90" i="1"/>
  <c r="DV7" i="1"/>
  <c r="DL113" i="1"/>
  <c r="DL258" i="1"/>
  <c r="DV258" i="1"/>
  <c r="DV113" i="1"/>
  <c r="DM14" i="1"/>
  <c r="DM127" i="1"/>
  <c r="DM124" i="1"/>
  <c r="DV127" i="1"/>
  <c r="DN127" i="1"/>
  <c r="DN210" i="1"/>
  <c r="DN112" i="1"/>
  <c r="DM95" i="1"/>
  <c r="DV210" i="1"/>
  <c r="DN13" i="1"/>
  <c r="DN209" i="1"/>
  <c r="DV13" i="1"/>
  <c r="DM210" i="1"/>
  <c r="DM13" i="1"/>
  <c r="DN95" i="1"/>
  <c r="DV95" i="1"/>
  <c r="DV209" i="1"/>
  <c r="DN79" i="1"/>
  <c r="DV124" i="1"/>
  <c r="DN250" i="1"/>
  <c r="DN124" i="1"/>
  <c r="DV79" i="1"/>
  <c r="DM209" i="1"/>
  <c r="DV250" i="1"/>
  <c r="DM55" i="1"/>
  <c r="DM115" i="1"/>
  <c r="DM256" i="1"/>
  <c r="DM78" i="1"/>
  <c r="DM68" i="1"/>
  <c r="DM186" i="1"/>
  <c r="DM175" i="1"/>
  <c r="DM153" i="1"/>
  <c r="DM116" i="1"/>
  <c r="DM79" i="1"/>
  <c r="DM46" i="1"/>
  <c r="DM92" i="1"/>
  <c r="DM219" i="1"/>
  <c r="DM173" i="1"/>
  <c r="DM90" i="1"/>
  <c r="DM89" i="1"/>
  <c r="DM250" i="1"/>
  <c r="DM231" i="1"/>
  <c r="DM11" i="1"/>
  <c r="DM148" i="1"/>
  <c r="DM270" i="1"/>
  <c r="DM161" i="1"/>
  <c r="DM102" i="1"/>
  <c r="DM9" i="1"/>
  <c r="DM7" i="1"/>
  <c r="DM121" i="1"/>
  <c r="DM109" i="1"/>
  <c r="DV112" i="1"/>
  <c r="DM238" i="1"/>
  <c r="DM99" i="1"/>
  <c r="DM41" i="1"/>
  <c r="DM82" i="1"/>
  <c r="DM37" i="1"/>
  <c r="DM44" i="1"/>
  <c r="DM130" i="1"/>
  <c r="DM119" i="1"/>
  <c r="DM252" i="1"/>
  <c r="DM237" i="1"/>
  <c r="DM73" i="1"/>
  <c r="DM38" i="1"/>
  <c r="DM201" i="1"/>
  <c r="DM244" i="1"/>
  <c r="DM195" i="1"/>
  <c r="DM177" i="1"/>
  <c r="DM267" i="1"/>
  <c r="DL267" i="1" s="1"/>
  <c r="DM112" i="1"/>
  <c r="DM183" i="1"/>
  <c r="DM179" i="1"/>
  <c r="DM203" i="1"/>
  <c r="DM54" i="1"/>
  <c r="DM32" i="1"/>
  <c r="DM211" i="1"/>
  <c r="DM246" i="1"/>
  <c r="DM105" i="1"/>
  <c r="DM249" i="1"/>
  <c r="DM111" i="1"/>
  <c r="DM87" i="1"/>
  <c r="DM35" i="1"/>
  <c r="DM257" i="1"/>
  <c r="DM213" i="1"/>
  <c r="DM245" i="1"/>
  <c r="DM110" i="1"/>
  <c r="DM144" i="1"/>
  <c r="DM80" i="1"/>
  <c r="DM229" i="1"/>
  <c r="DM123" i="1"/>
  <c r="DM154" i="1"/>
  <c r="DM236" i="1"/>
  <c r="DM193" i="1"/>
  <c r="DM165" i="1"/>
  <c r="DM43" i="1"/>
  <c r="DM234" i="1"/>
  <c r="DM241" i="1"/>
  <c r="DM93" i="1"/>
  <c r="DM16" i="1"/>
  <c r="DM106" i="1"/>
  <c r="DM217" i="1"/>
  <c r="DM227" i="1"/>
  <c r="DM53" i="1"/>
  <c r="DM260" i="1"/>
  <c r="DM248" i="1"/>
  <c r="DM114" i="1"/>
  <c r="DM34" i="1"/>
  <c r="DM131" i="1"/>
  <c r="DM108" i="1"/>
  <c r="DM23" i="1"/>
  <c r="DM22" i="1"/>
  <c r="DM125" i="1"/>
  <c r="DM101" i="1"/>
  <c r="DM199" i="1"/>
  <c r="DM197" i="1"/>
  <c r="DM21" i="1"/>
  <c r="DM253" i="1"/>
  <c r="DM132" i="1"/>
  <c r="DM96" i="1"/>
  <c r="DM77" i="1"/>
  <c r="DM45" i="1"/>
  <c r="DM254" i="1"/>
  <c r="DM71" i="1"/>
  <c r="DM147" i="1"/>
  <c r="DM122" i="1"/>
  <c r="DM20" i="1"/>
  <c r="DM136" i="1"/>
  <c r="DM141" i="1"/>
  <c r="DM146" i="1"/>
  <c r="DM171" i="1"/>
  <c r="DM52" i="1"/>
  <c r="DM187" i="1"/>
  <c r="DM65" i="1"/>
  <c r="DM215" i="1"/>
  <c r="DM69" i="1"/>
  <c r="DM189" i="1"/>
  <c r="DM91" i="1"/>
  <c r="DM27" i="1"/>
  <c r="DM184" i="1"/>
  <c r="DM39" i="1"/>
  <c r="DM242" i="1"/>
  <c r="DM261" i="1"/>
  <c r="DM85" i="1"/>
  <c r="DM117" i="1"/>
  <c r="DM235" i="1"/>
  <c r="DM62" i="1"/>
  <c r="DM98" i="1"/>
  <c r="DM225" i="1"/>
  <c r="DM143" i="1"/>
  <c r="DM126" i="1"/>
  <c r="DM15" i="1"/>
  <c r="DM233" i="1"/>
  <c r="DM222" i="1"/>
  <c r="DM226" i="1"/>
  <c r="DM8" i="1"/>
  <c r="DM216" i="1"/>
  <c r="DM220" i="1"/>
  <c r="DM162" i="1"/>
  <c r="DM33" i="1"/>
  <c r="DM200" i="1"/>
  <c r="DM164" i="1"/>
  <c r="DM74" i="1"/>
  <c r="DM263" i="1"/>
  <c r="DM269" i="1"/>
  <c r="DM17" i="1"/>
  <c r="DM166" i="1"/>
  <c r="DM208" i="1"/>
  <c r="DM88" i="1"/>
  <c r="DM172" i="1"/>
  <c r="DM128" i="1"/>
  <c r="DM135" i="1"/>
  <c r="DM103" i="1"/>
  <c r="DM60" i="1"/>
  <c r="DM232" i="1"/>
  <c r="DM48" i="1"/>
  <c r="DM104" i="1"/>
  <c r="DM100" i="1"/>
  <c r="DM221" i="1"/>
  <c r="DM169" i="1"/>
  <c r="DM223" i="1"/>
  <c r="DM140" i="1"/>
  <c r="DM151" i="1"/>
  <c r="DM264" i="1"/>
  <c r="DM107" i="1"/>
  <c r="DM188" i="1"/>
  <c r="DM134" i="1"/>
  <c r="DM118" i="1"/>
  <c r="DM150" i="1"/>
  <c r="DM194" i="1"/>
  <c r="DM26" i="1"/>
  <c r="DM10" i="1"/>
  <c r="DM31" i="1"/>
  <c r="DM137" i="1"/>
  <c r="DM168" i="1"/>
  <c r="DM58" i="1"/>
  <c r="DM247" i="1"/>
  <c r="DM190" i="1"/>
  <c r="DM182" i="1"/>
  <c r="DM63" i="1"/>
  <c r="DM191" i="1"/>
  <c r="DM142" i="1"/>
  <c r="DM243" i="1"/>
  <c r="DM42" i="1"/>
  <c r="DM228" i="1"/>
  <c r="DM81" i="1"/>
  <c r="DM196" i="1"/>
  <c r="DM70" i="1"/>
  <c r="DM19" i="1"/>
  <c r="DM178" i="1"/>
  <c r="DM224" i="1"/>
  <c r="DM230" i="1"/>
  <c r="DM145" i="1"/>
  <c r="DM24" i="1"/>
  <c r="DM47" i="1"/>
  <c r="DM198" i="1"/>
  <c r="DM156" i="1"/>
  <c r="DM202" i="1"/>
  <c r="DM206" i="1"/>
  <c r="DM218" i="1"/>
  <c r="DM214" i="1"/>
  <c r="DM176" i="1"/>
  <c r="DM174" i="1"/>
  <c r="DM72" i="1"/>
  <c r="DM255" i="1"/>
  <c r="DM266" i="1"/>
  <c r="DM152" i="1"/>
  <c r="DM251" i="1"/>
  <c r="DM40" i="1"/>
  <c r="DM212" i="1"/>
  <c r="DM170" i="1"/>
  <c r="DM204" i="1"/>
  <c r="DM192" i="1"/>
  <c r="DM129" i="1"/>
  <c r="DM259" i="1"/>
  <c r="DM239" i="1"/>
  <c r="DM56" i="1"/>
  <c r="DM49" i="1"/>
  <c r="DM160" i="1"/>
  <c r="DM158" i="1"/>
  <c r="DM262" i="1"/>
  <c r="DM185" i="1"/>
  <c r="DM51" i="1"/>
  <c r="DM97" i="1"/>
  <c r="DM94" i="1"/>
  <c r="DM59" i="1"/>
  <c r="DM66" i="1"/>
  <c r="DM240" i="1"/>
  <c r="DM61" i="1"/>
  <c r="DM155" i="1"/>
  <c r="DM205" i="1"/>
  <c r="DM207" i="1"/>
  <c r="DM86" i="1"/>
  <c r="DM268" i="1"/>
  <c r="DM138" i="1"/>
  <c r="DM139" i="1"/>
  <c r="DM30" i="1"/>
  <c r="DM149" i="1"/>
  <c r="DM36" i="1"/>
  <c r="DM181" i="1"/>
  <c r="DM64" i="1"/>
  <c r="DM163" i="1"/>
  <c r="DM67" i="1"/>
  <c r="DM28" i="1"/>
  <c r="DM50" i="1"/>
  <c r="DM83" i="1"/>
  <c r="DM12" i="1"/>
  <c r="DM265" i="1"/>
  <c r="DM57" i="1"/>
  <c r="DM159" i="1"/>
  <c r="DM157" i="1"/>
  <c r="DM167" i="1"/>
  <c r="DM29" i="1"/>
  <c r="DM75" i="1"/>
  <c r="DM76" i="1"/>
  <c r="DM180" i="1"/>
  <c r="DM18" i="1"/>
  <c r="DM120" i="1"/>
  <c r="DM133" i="1"/>
  <c r="DM271" i="1"/>
  <c r="DM84" i="1"/>
  <c r="DV267" i="1"/>
  <c r="DN270" i="1"/>
  <c r="DV270" i="1"/>
  <c r="DN190" i="1"/>
  <c r="DV190" i="1"/>
  <c r="DN68" i="1"/>
  <c r="DV68" i="1"/>
  <c r="DN101" i="1"/>
  <c r="DV101" i="1"/>
  <c r="DN108" i="1"/>
  <c r="DV108" i="1"/>
  <c r="DN70" i="1"/>
  <c r="DV70" i="1"/>
  <c r="DN218" i="1"/>
  <c r="DV218" i="1"/>
  <c r="DN152" i="1"/>
  <c r="DV152" i="1"/>
  <c r="DN76" i="1"/>
  <c r="DV76" i="1"/>
  <c r="DN213" i="1"/>
  <c r="DV213" i="1"/>
  <c r="DN191" i="1"/>
  <c r="DV191" i="1"/>
  <c r="DN65" i="1"/>
  <c r="DV65" i="1"/>
  <c r="DN167" i="1"/>
  <c r="DV167" i="1"/>
  <c r="DN176" i="1"/>
  <c r="DV176" i="1"/>
  <c r="DN204" i="1"/>
  <c r="DV204" i="1"/>
  <c r="DN151" i="1"/>
  <c r="DV151" i="1"/>
  <c r="DN199" i="1"/>
  <c r="DV199" i="1"/>
  <c r="DN181" i="1"/>
  <c r="DV181" i="1"/>
  <c r="DN222" i="1"/>
  <c r="DV222" i="1"/>
  <c r="DN219" i="1"/>
  <c r="DV219" i="1"/>
  <c r="DN111" i="1"/>
  <c r="DV111" i="1"/>
  <c r="DN93" i="1"/>
  <c r="DV93" i="1"/>
  <c r="DN78" i="1"/>
  <c r="DV78" i="1"/>
  <c r="DN220" i="1"/>
  <c r="DV220" i="1"/>
  <c r="DN221" i="1"/>
  <c r="DV221" i="1"/>
  <c r="DN38" i="1"/>
  <c r="DV38" i="1"/>
  <c r="DN36" i="1"/>
  <c r="DV36" i="1"/>
  <c r="DN116" i="1"/>
  <c r="DV116" i="1"/>
  <c r="DN120" i="1"/>
  <c r="DV120" i="1"/>
  <c r="DN100" i="1"/>
  <c r="DV100" i="1"/>
  <c r="DN212" i="1"/>
  <c r="DV212" i="1"/>
  <c r="DN195" i="1"/>
  <c r="DV195" i="1"/>
  <c r="DN198" i="1"/>
  <c r="DV198" i="1"/>
  <c r="DN56" i="1"/>
  <c r="DV56" i="1"/>
  <c r="DN45" i="1"/>
  <c r="DV45" i="1"/>
  <c r="DN28" i="1"/>
  <c r="DV28" i="1"/>
  <c r="DN88" i="1"/>
  <c r="DV88" i="1"/>
  <c r="DN214" i="1"/>
  <c r="DV214" i="1"/>
  <c r="DN255" i="1"/>
  <c r="DV255" i="1"/>
  <c r="DN148" i="1"/>
  <c r="DV148" i="1"/>
  <c r="DN147" i="1"/>
  <c r="DV147" i="1"/>
  <c r="DN138" i="1"/>
  <c r="DV138" i="1"/>
  <c r="DN177" i="1"/>
  <c r="DV177" i="1"/>
  <c r="DN203" i="1"/>
  <c r="DV203" i="1"/>
  <c r="DN67" i="1"/>
  <c r="DV67" i="1"/>
  <c r="DN58" i="1"/>
  <c r="DV58" i="1"/>
  <c r="DN89" i="1"/>
  <c r="DV89" i="1"/>
  <c r="DN133" i="1"/>
  <c r="DV133" i="1"/>
  <c r="DN266" i="1"/>
  <c r="DV266" i="1"/>
  <c r="DN202" i="1"/>
  <c r="DV202" i="1"/>
  <c r="DN232" i="1"/>
  <c r="DV232" i="1"/>
  <c r="DN249" i="1"/>
  <c r="DV249" i="1"/>
  <c r="DN235" i="1"/>
  <c r="DV235" i="1"/>
  <c r="DN261" i="1"/>
  <c r="DV261" i="1"/>
  <c r="DN239" i="1"/>
  <c r="DV239" i="1"/>
  <c r="DN259" i="1"/>
  <c r="DV259" i="1"/>
  <c r="DN237" i="1"/>
  <c r="DV237" i="1"/>
  <c r="DN129" i="1"/>
  <c r="DV129" i="1"/>
  <c r="DN10" i="1"/>
  <c r="DV10" i="1"/>
  <c r="DN139" i="1"/>
  <c r="DV139" i="1"/>
  <c r="DN175" i="1"/>
  <c r="DV175" i="1"/>
  <c r="DN211" i="1"/>
  <c r="DV211" i="1"/>
  <c r="DN49" i="1"/>
  <c r="DV49" i="1"/>
  <c r="DN83" i="1"/>
  <c r="DV83" i="1"/>
  <c r="DN37" i="1"/>
  <c r="DV37" i="1"/>
  <c r="DN46" i="1"/>
  <c r="DV46" i="1"/>
  <c r="DN30" i="1"/>
  <c r="DV30" i="1"/>
  <c r="DN215" i="1"/>
  <c r="DV215" i="1"/>
  <c r="DN179" i="1"/>
  <c r="DV179" i="1"/>
  <c r="DN96" i="1"/>
  <c r="DV96" i="1"/>
  <c r="DN131" i="1"/>
  <c r="DV131" i="1"/>
  <c r="DN128" i="1"/>
  <c r="DV128" i="1"/>
  <c r="DN122" i="1"/>
  <c r="DV122" i="1"/>
  <c r="DN119" i="1"/>
  <c r="DV119" i="1"/>
  <c r="DN189" i="1"/>
  <c r="DV189" i="1"/>
  <c r="DN162" i="1"/>
  <c r="DV162" i="1"/>
  <c r="DN71" i="1"/>
  <c r="DV71" i="1"/>
  <c r="DN98" i="1"/>
  <c r="DV98" i="1"/>
  <c r="DN132" i="1"/>
  <c r="DV132" i="1"/>
  <c r="DN69" i="1"/>
  <c r="DV69" i="1"/>
  <c r="DN121" i="1"/>
  <c r="DV121" i="1"/>
  <c r="DN205" i="1"/>
  <c r="DV205" i="1"/>
  <c r="DN21" i="1"/>
  <c r="DV21" i="1"/>
  <c r="DN216" i="1"/>
  <c r="DV216" i="1"/>
  <c r="DN145" i="1"/>
  <c r="DV145" i="1"/>
  <c r="DN41" i="1"/>
  <c r="DV41" i="1"/>
  <c r="DN102" i="1"/>
  <c r="DV102" i="1"/>
  <c r="DN27" i="1"/>
  <c r="DV27" i="1"/>
  <c r="DN174" i="1"/>
  <c r="DV174" i="1"/>
  <c r="DN92" i="1"/>
  <c r="DV92" i="1"/>
  <c r="DN156" i="1"/>
  <c r="DV156" i="1"/>
  <c r="DN130" i="1"/>
  <c r="DV130" i="1"/>
  <c r="DN84" i="1"/>
  <c r="DV84" i="1"/>
  <c r="DN125" i="1"/>
  <c r="DV125" i="1"/>
  <c r="DN97" i="1"/>
  <c r="DV97" i="1"/>
  <c r="DN99" i="1"/>
  <c r="DV99" i="1"/>
  <c r="DN62" i="1"/>
  <c r="DV62" i="1"/>
  <c r="DN7" i="1"/>
  <c r="DN17" i="1"/>
  <c r="DV17" i="1"/>
  <c r="DN82" i="1"/>
  <c r="DV82" i="1"/>
  <c r="DN172" i="1"/>
  <c r="DV172" i="1"/>
  <c r="DN107" i="1"/>
  <c r="DV107" i="1"/>
  <c r="DN105" i="1"/>
  <c r="DV105" i="1"/>
  <c r="DN118" i="1"/>
  <c r="DV118" i="1"/>
  <c r="DN136" i="1"/>
  <c r="DV136" i="1"/>
  <c r="DN196" i="1"/>
  <c r="DV196" i="1"/>
  <c r="DN12" i="1"/>
  <c r="DV12" i="1"/>
  <c r="DN231" i="1"/>
  <c r="DV231" i="1"/>
  <c r="DN224" i="1"/>
  <c r="DV224" i="1"/>
  <c r="DN253" i="1"/>
  <c r="DV253" i="1"/>
  <c r="DN247" i="1"/>
  <c r="DV247" i="1"/>
  <c r="DN226" i="1"/>
  <c r="DV226" i="1"/>
  <c r="DN256" i="1"/>
  <c r="DV256" i="1"/>
  <c r="DN230" i="1"/>
  <c r="DV230" i="1"/>
  <c r="DN262" i="1"/>
  <c r="DV262" i="1"/>
  <c r="DN248" i="1"/>
  <c r="DV248" i="1"/>
  <c r="DN254" i="1"/>
  <c r="DV254" i="1"/>
  <c r="DN268" i="1"/>
  <c r="DV268" i="1"/>
  <c r="DN161" i="1"/>
  <c r="DV161" i="1"/>
  <c r="DN197" i="1"/>
  <c r="DV197" i="1"/>
  <c r="DN206" i="1"/>
  <c r="DV206" i="1"/>
  <c r="DN194" i="1"/>
  <c r="DV194" i="1"/>
  <c r="DN170" i="1"/>
  <c r="DV170" i="1"/>
  <c r="DN81" i="1"/>
  <c r="DV81" i="1"/>
  <c r="DN29" i="1"/>
  <c r="DV29" i="1"/>
  <c r="DN137" i="1"/>
  <c r="DV137" i="1"/>
  <c r="DN20" i="1"/>
  <c r="DV20" i="1"/>
  <c r="DN50" i="1"/>
  <c r="DV50" i="1"/>
  <c r="DN31" i="1"/>
  <c r="DV31" i="1"/>
  <c r="DN184" i="1"/>
  <c r="DV184" i="1"/>
  <c r="DN103" i="1"/>
  <c r="DV103" i="1"/>
  <c r="DN153" i="1"/>
  <c r="DV153" i="1"/>
  <c r="DN9" i="1"/>
  <c r="DV9" i="1"/>
  <c r="DN23" i="1"/>
  <c r="DV23" i="1"/>
  <c r="DN188" i="1"/>
  <c r="DV188" i="1"/>
  <c r="DN200" i="1"/>
  <c r="DV200" i="1"/>
  <c r="DN168" i="1"/>
  <c r="DV168" i="1"/>
  <c r="DN144" i="1"/>
  <c r="DV144" i="1"/>
  <c r="DN72" i="1"/>
  <c r="DV72" i="1"/>
  <c r="DN123" i="1"/>
  <c r="DV123" i="1"/>
  <c r="DN155" i="1"/>
  <c r="DV155" i="1"/>
  <c r="DN166" i="1"/>
  <c r="DV166" i="1"/>
  <c r="DN186" i="1"/>
  <c r="DV186" i="1"/>
  <c r="DN185" i="1"/>
  <c r="DV185" i="1"/>
  <c r="DN187" i="1"/>
  <c r="DV187" i="1"/>
  <c r="DN159" i="1"/>
  <c r="DV159" i="1"/>
  <c r="DN164" i="1"/>
  <c r="DV164" i="1"/>
  <c r="DN24" i="1"/>
  <c r="DV24" i="1"/>
  <c r="DN143" i="1"/>
  <c r="DV143" i="1"/>
  <c r="DN59" i="1"/>
  <c r="DV59" i="1"/>
  <c r="DN114" i="1"/>
  <c r="DV114" i="1"/>
  <c r="DN8" i="1"/>
  <c r="DV8" i="1"/>
  <c r="DN223" i="1"/>
  <c r="DV223" i="1"/>
  <c r="DN51" i="1"/>
  <c r="DV51" i="1"/>
  <c r="DN85" i="1"/>
  <c r="DV85" i="1"/>
  <c r="DN141" i="1"/>
  <c r="DV141" i="1"/>
  <c r="DN39" i="1"/>
  <c r="DV39" i="1"/>
  <c r="DN11" i="1"/>
  <c r="DV11" i="1"/>
  <c r="DN106" i="1"/>
  <c r="DV106" i="1"/>
  <c r="DN57" i="1"/>
  <c r="DV57" i="1"/>
  <c r="DN193" i="1"/>
  <c r="DV193" i="1"/>
  <c r="DN178" i="1"/>
  <c r="DV178" i="1"/>
  <c r="DN32" i="1"/>
  <c r="DV32" i="1"/>
  <c r="DN14" i="1"/>
  <c r="DV14" i="1"/>
  <c r="DN64" i="1"/>
  <c r="DV64" i="1"/>
  <c r="DN163" i="1"/>
  <c r="DV163" i="1"/>
  <c r="DN154" i="1"/>
  <c r="DV154" i="1"/>
  <c r="DN19" i="1"/>
  <c r="DV19" i="1"/>
  <c r="DN91" i="1"/>
  <c r="DV91" i="1"/>
  <c r="DN117" i="1"/>
  <c r="DV117" i="1"/>
  <c r="DN257" i="1"/>
  <c r="DV257" i="1"/>
  <c r="DN243" i="1"/>
  <c r="DV243" i="1"/>
  <c r="DN260" i="1"/>
  <c r="DV260" i="1"/>
  <c r="DN228" i="1"/>
  <c r="DV228" i="1"/>
  <c r="DN263" i="1"/>
  <c r="DV263" i="1"/>
  <c r="DN227" i="1"/>
  <c r="DV227" i="1"/>
  <c r="DN240" i="1"/>
  <c r="DV240" i="1"/>
  <c r="DN234" i="1"/>
  <c r="DV234" i="1"/>
  <c r="DN225" i="1"/>
  <c r="DV225" i="1"/>
  <c r="DN233" i="1"/>
  <c r="DV233" i="1"/>
  <c r="DN265" i="1"/>
  <c r="DV265" i="1"/>
  <c r="DN160" i="1"/>
  <c r="DV160" i="1"/>
  <c r="DN63" i="1"/>
  <c r="DV63" i="1"/>
  <c r="DN40" i="1"/>
  <c r="DV40" i="1"/>
  <c r="DN104" i="1"/>
  <c r="DV104" i="1"/>
  <c r="DN25" i="1"/>
  <c r="DL25" i="1" s="1"/>
  <c r="DV25" i="1"/>
  <c r="DN242" i="1"/>
  <c r="DV242" i="1"/>
  <c r="DN252" i="1"/>
  <c r="DV252" i="1"/>
  <c r="DN171" i="1"/>
  <c r="DV171" i="1"/>
  <c r="DN173" i="1"/>
  <c r="DV173" i="1"/>
  <c r="DN55" i="1"/>
  <c r="DV55" i="1"/>
  <c r="DN44" i="1"/>
  <c r="DV44" i="1"/>
  <c r="DN53" i="1"/>
  <c r="DV53" i="1"/>
  <c r="DN110" i="1"/>
  <c r="DV110" i="1"/>
  <c r="DN157" i="1"/>
  <c r="DV157" i="1"/>
  <c r="DN126" i="1"/>
  <c r="DV126" i="1"/>
  <c r="DN180" i="1"/>
  <c r="DN142" i="1"/>
  <c r="DV142" i="1"/>
  <c r="DN61" i="1"/>
  <c r="DV61" i="1"/>
  <c r="DN22" i="1"/>
  <c r="DV22" i="1"/>
  <c r="DN73" i="1"/>
  <c r="DV73" i="1"/>
  <c r="DN35" i="1"/>
  <c r="DV35" i="1"/>
  <c r="DN165" i="1"/>
  <c r="DV165" i="1"/>
  <c r="DN26" i="1"/>
  <c r="DV26" i="1"/>
  <c r="DN90" i="1"/>
  <c r="DN74" i="1"/>
  <c r="DV74" i="1"/>
  <c r="DN86" i="1"/>
  <c r="DV86" i="1"/>
  <c r="DN208" i="1"/>
  <c r="DV208" i="1"/>
  <c r="DN146" i="1"/>
  <c r="DV146" i="1"/>
  <c r="DN80" i="1"/>
  <c r="DV80" i="1"/>
  <c r="DN33" i="1"/>
  <c r="DV33" i="1"/>
  <c r="DN42" i="1"/>
  <c r="DV42" i="1"/>
  <c r="DN149" i="1"/>
  <c r="DV149" i="1"/>
  <c r="DN134" i="1"/>
  <c r="DV134" i="1"/>
  <c r="DN18" i="1"/>
  <c r="DV18" i="1"/>
  <c r="DN207" i="1"/>
  <c r="DV207" i="1"/>
  <c r="DN192" i="1"/>
  <c r="DV192" i="1"/>
  <c r="DN135" i="1"/>
  <c r="DV135" i="1"/>
  <c r="DN77" i="1"/>
  <c r="DV77" i="1"/>
  <c r="DN54" i="1"/>
  <c r="DV54" i="1"/>
  <c r="DN109" i="1"/>
  <c r="DV109" i="1"/>
  <c r="DN43" i="1"/>
  <c r="DV43" i="1"/>
  <c r="DN15" i="1"/>
  <c r="DV15" i="1"/>
  <c r="DN60" i="1"/>
  <c r="DV60" i="1"/>
  <c r="DN183" i="1"/>
  <c r="DV183" i="1"/>
  <c r="DN201" i="1"/>
  <c r="DV201" i="1"/>
  <c r="DN217" i="1"/>
  <c r="DV217" i="1"/>
  <c r="DN16" i="1"/>
  <c r="DV16" i="1"/>
  <c r="DN150" i="1"/>
  <c r="DV150" i="1"/>
  <c r="DN47" i="1"/>
  <c r="DV47" i="1"/>
  <c r="DN115" i="1"/>
  <c r="DV115" i="1"/>
  <c r="DN87" i="1"/>
  <c r="DV87" i="1"/>
  <c r="DN94" i="1"/>
  <c r="DV94" i="1"/>
  <c r="DN169" i="1"/>
  <c r="DV169" i="1"/>
  <c r="DN269" i="1"/>
  <c r="DV269" i="1"/>
  <c r="DN236" i="1"/>
  <c r="DV236" i="1"/>
  <c r="DN271" i="1"/>
  <c r="DV271" i="1"/>
  <c r="DN241" i="1"/>
  <c r="DV241" i="1"/>
  <c r="DN264" i="1"/>
  <c r="DV264" i="1"/>
  <c r="DN246" i="1"/>
  <c r="DV246" i="1"/>
  <c r="DN229" i="1"/>
  <c r="DV229" i="1"/>
  <c r="DN244" i="1"/>
  <c r="DV244" i="1"/>
  <c r="DN251" i="1"/>
  <c r="DV251" i="1"/>
  <c r="DN238" i="1"/>
  <c r="DV238" i="1"/>
  <c r="DN245" i="1"/>
  <c r="DV245" i="1"/>
  <c r="DN75" i="1"/>
  <c r="DV75" i="1"/>
  <c r="DN48" i="1"/>
  <c r="DV48" i="1"/>
  <c r="DN182" i="1"/>
  <c r="DV182" i="1"/>
  <c r="DN34" i="1"/>
  <c r="DV34" i="1"/>
  <c r="DN158" i="1"/>
  <c r="DV158" i="1"/>
  <c r="DN52" i="1"/>
  <c r="DV52" i="1"/>
  <c r="DN66" i="1"/>
  <c r="DV66" i="1"/>
  <c r="DN140" i="1"/>
  <c r="DV140" i="1"/>
  <c r="DL209" i="1" l="1"/>
  <c r="DL13" i="1"/>
  <c r="DL79" i="1"/>
  <c r="DL112" i="1"/>
  <c r="DL250" i="1"/>
  <c r="DL127" i="1"/>
  <c r="DL133" i="1"/>
  <c r="DL138" i="1"/>
  <c r="DL152" i="1"/>
  <c r="DL205" i="1"/>
  <c r="DL66" i="1"/>
  <c r="DL51" i="1"/>
  <c r="DL160" i="1"/>
  <c r="DL259" i="1"/>
  <c r="DL47" i="1"/>
  <c r="DL196" i="1"/>
  <c r="DL243" i="1"/>
  <c r="DL182" i="1"/>
  <c r="DL26" i="1"/>
  <c r="DL134" i="1"/>
  <c r="DL151" i="1"/>
  <c r="DL128" i="1"/>
  <c r="DL166" i="1"/>
  <c r="DL74" i="1"/>
  <c r="DL162" i="1"/>
  <c r="DL226" i="1"/>
  <c r="DL126" i="1"/>
  <c r="DL261" i="1"/>
  <c r="DL27" i="1"/>
  <c r="DL215" i="1"/>
  <c r="DL23" i="1"/>
  <c r="DL227" i="1"/>
  <c r="DL93" i="1"/>
  <c r="DL123" i="1"/>
  <c r="DL110" i="1"/>
  <c r="DL35" i="1"/>
  <c r="DL54" i="1"/>
  <c r="DL244" i="1"/>
  <c r="DL44" i="1"/>
  <c r="DL99" i="1"/>
  <c r="DL231" i="1"/>
  <c r="DL173" i="1"/>
  <c r="DL14" i="1"/>
  <c r="DL76" i="1"/>
  <c r="DL67" i="1"/>
  <c r="DL224" i="1"/>
  <c r="DL120" i="1"/>
  <c r="DL75" i="1"/>
  <c r="DL159" i="1"/>
  <c r="DL83" i="1"/>
  <c r="DL163" i="1"/>
  <c r="DL149" i="1"/>
  <c r="DL268" i="1"/>
  <c r="DL155" i="1"/>
  <c r="DL59" i="1"/>
  <c r="DL185" i="1"/>
  <c r="DL49" i="1"/>
  <c r="DL129" i="1"/>
  <c r="DL212" i="1"/>
  <c r="DL266" i="1"/>
  <c r="DL176" i="1"/>
  <c r="DL202" i="1"/>
  <c r="DL24" i="1"/>
  <c r="DL178" i="1"/>
  <c r="DL81" i="1"/>
  <c r="DL142" i="1"/>
  <c r="DL190" i="1"/>
  <c r="DL137" i="1"/>
  <c r="DL194" i="1"/>
  <c r="DL188" i="1"/>
  <c r="DL140" i="1"/>
  <c r="DL100" i="1"/>
  <c r="DL60" i="1"/>
  <c r="DL172" i="1"/>
  <c r="DL17" i="1"/>
  <c r="DL164" i="1"/>
  <c r="DL220" i="1"/>
  <c r="DL222" i="1"/>
  <c r="DL143" i="1"/>
  <c r="DL235" i="1"/>
  <c r="DL242" i="1"/>
  <c r="DL91" i="1"/>
  <c r="DL65" i="1"/>
  <c r="DL146" i="1"/>
  <c r="DL122" i="1"/>
  <c r="DL45" i="1"/>
  <c r="DL253" i="1"/>
  <c r="DL101" i="1"/>
  <c r="DL108" i="1"/>
  <c r="DL248" i="1"/>
  <c r="DL217" i="1"/>
  <c r="DL241" i="1"/>
  <c r="DL193" i="1"/>
  <c r="DL229" i="1"/>
  <c r="DL245" i="1"/>
  <c r="DL87" i="1"/>
  <c r="DL246" i="1"/>
  <c r="DL203" i="1"/>
  <c r="DL201" i="1"/>
  <c r="DL252" i="1"/>
  <c r="DL37" i="1"/>
  <c r="DL238" i="1"/>
  <c r="DL7" i="1"/>
  <c r="DL270" i="1"/>
  <c r="DL219" i="1"/>
  <c r="DL116" i="1"/>
  <c r="DL68" i="1"/>
  <c r="DL55" i="1"/>
  <c r="DL210" i="1"/>
  <c r="DL12" i="1"/>
  <c r="DL174" i="1"/>
  <c r="DL168" i="1"/>
  <c r="DL232" i="1"/>
  <c r="DL20" i="1"/>
  <c r="DL254" i="1"/>
  <c r="DL199" i="1"/>
  <c r="DL114" i="1"/>
  <c r="DL237" i="1"/>
  <c r="DL161" i="1"/>
  <c r="DL115" i="1"/>
  <c r="DL84" i="1"/>
  <c r="DL18" i="1"/>
  <c r="DL29" i="1"/>
  <c r="DL57" i="1"/>
  <c r="DL50" i="1"/>
  <c r="DL64" i="1"/>
  <c r="DL30" i="1"/>
  <c r="DL86" i="1"/>
  <c r="DL61" i="1"/>
  <c r="DL94" i="1"/>
  <c r="DL262" i="1"/>
  <c r="DL56" i="1"/>
  <c r="DL192" i="1"/>
  <c r="DL40" i="1"/>
  <c r="DL255" i="1"/>
  <c r="DL214" i="1"/>
  <c r="DL156" i="1"/>
  <c r="DL145" i="1"/>
  <c r="DL19" i="1"/>
  <c r="DL228" i="1"/>
  <c r="DL191" i="1"/>
  <c r="DL247" i="1"/>
  <c r="DL31" i="1"/>
  <c r="DL150" i="1"/>
  <c r="DL107" i="1"/>
  <c r="DL223" i="1"/>
  <c r="DL104" i="1"/>
  <c r="DL103" i="1"/>
  <c r="DL88" i="1"/>
  <c r="DL269" i="1"/>
  <c r="DL200" i="1"/>
  <c r="DL216" i="1"/>
  <c r="DL233" i="1"/>
  <c r="DL225" i="1"/>
  <c r="DL117" i="1"/>
  <c r="DL39" i="1"/>
  <c r="DL189" i="1"/>
  <c r="DL187" i="1"/>
  <c r="DL141" i="1"/>
  <c r="DL147" i="1"/>
  <c r="DL77" i="1"/>
  <c r="DL21" i="1"/>
  <c r="DL125" i="1"/>
  <c r="DL131" i="1"/>
  <c r="DL260" i="1"/>
  <c r="DL106" i="1"/>
  <c r="DL234" i="1"/>
  <c r="DL236" i="1"/>
  <c r="DL80" i="1"/>
  <c r="DL213" i="1"/>
  <c r="DL111" i="1"/>
  <c r="DL211" i="1"/>
  <c r="DL179" i="1"/>
  <c r="DL177" i="1"/>
  <c r="DL38" i="1"/>
  <c r="DL119" i="1"/>
  <c r="DL82" i="1"/>
  <c r="DL9" i="1"/>
  <c r="DL148" i="1"/>
  <c r="DL89" i="1"/>
  <c r="DL92" i="1"/>
  <c r="DL153" i="1"/>
  <c r="DL78" i="1"/>
  <c r="DL95" i="1"/>
  <c r="DL157" i="1"/>
  <c r="DL36" i="1"/>
  <c r="DL170" i="1"/>
  <c r="DL206" i="1"/>
  <c r="DL221" i="1"/>
  <c r="DL62" i="1"/>
  <c r="DL171" i="1"/>
  <c r="DL132" i="1"/>
  <c r="DL165" i="1"/>
  <c r="DL105" i="1"/>
  <c r="DL121" i="1"/>
  <c r="DL186" i="1"/>
  <c r="DL271" i="1"/>
  <c r="DL180" i="1"/>
  <c r="DL167" i="1"/>
  <c r="DL265" i="1"/>
  <c r="DL28" i="1"/>
  <c r="DL181" i="1"/>
  <c r="DL139" i="1"/>
  <c r="DL207" i="1"/>
  <c r="DL240" i="1"/>
  <c r="DL97" i="1"/>
  <c r="DL158" i="1"/>
  <c r="DL239" i="1"/>
  <c r="DL204" i="1"/>
  <c r="DL251" i="1"/>
  <c r="DL72" i="1"/>
  <c r="DL218" i="1"/>
  <c r="DL198" i="1"/>
  <c r="DL230" i="1"/>
  <c r="DL70" i="1"/>
  <c r="DL42" i="1"/>
  <c r="DL63" i="1"/>
  <c r="DL58" i="1"/>
  <c r="DL10" i="1"/>
  <c r="DL118" i="1"/>
  <c r="DL264" i="1"/>
  <c r="DL169" i="1"/>
  <c r="DL48" i="1"/>
  <c r="DL135" i="1"/>
  <c r="DL208" i="1"/>
  <c r="DL263" i="1"/>
  <c r="DL33" i="1"/>
  <c r="DL8" i="1"/>
  <c r="DL15" i="1"/>
  <c r="DL98" i="1"/>
  <c r="DL85" i="1"/>
  <c r="DL184" i="1"/>
  <c r="DL69" i="1"/>
  <c r="DL52" i="1"/>
  <c r="DL136" i="1"/>
  <c r="DL71" i="1"/>
  <c r="DL96" i="1"/>
  <c r="DL197" i="1"/>
  <c r="DL22" i="1"/>
  <c r="DL34" i="1"/>
  <c r="DL53" i="1"/>
  <c r="DL16" i="1"/>
  <c r="DL43" i="1"/>
  <c r="DL154" i="1"/>
  <c r="DL144" i="1"/>
  <c r="DL257" i="1"/>
  <c r="DL249" i="1"/>
  <c r="DL32" i="1"/>
  <c r="DL183" i="1"/>
  <c r="DL195" i="1"/>
  <c r="DL73" i="1"/>
  <c r="DL130" i="1"/>
  <c r="DL41" i="1"/>
  <c r="DL109" i="1"/>
  <c r="DL102" i="1"/>
  <c r="DL11" i="1"/>
  <c r="DL90" i="1"/>
  <c r="DL46" i="1"/>
  <c r="DL175" i="1"/>
  <c r="DL256" i="1"/>
  <c r="DL124"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A87A4-68DD-4D1C-AD09-C1DC7451E6AE}" keepAlive="1" name="Consulta - 2025-07-12T23-56_export" description="Conexão com a consulta '2025-07-12T23-56_export' na pasta de trabalho." type="5" refreshedVersion="0" background="1" saveData="1">
    <dbPr connection="Provider=Microsoft.Mashup.OleDb.1;Data Source=$Workbook$;Location=2025-07-12T23-56_export;Extended Properties=&quot;&quot;" command="SELECT * FROM [2025-07-12T23-56_export]"/>
  </connection>
  <connection id="2" xr16:uid="{3B07B1FA-0BDC-44D4-8594-8110760CB342}" keepAlive="1" name="Consulta - 2025-07-13T00-11_ETF" description="Conexão com a consulta '2025-07-13T00-11_ETF' na pasta de trabalho." type="5" refreshedVersion="0" background="1" saveData="1">
    <dbPr connection="Provider=Microsoft.Mashup.OleDb.1;Data Source=$Workbook$;Location=2025-07-13T00-11_ETF;Extended Properties=&quot;&quot;" command="SELECT * FROM [2025-07-13T00-11_ETF]"/>
  </connection>
  <connection id="3" xr16:uid="{1051160A-552D-4EB2-B7AA-938D7F7387A9}" keepAlive="1" name="Consulta - 2025-07-13T00-18_FII" description="Conexão com a consulta '2025-07-13T00-18_FII' na pasta de trabalho." type="5" refreshedVersion="0" background="1" saveData="1">
    <dbPr connection="Provider=Microsoft.Mashup.OleDb.1;Data Source=$Workbook$;Location=2025-07-13T00-18_FII;Extended Properties=&quot;&quot;" command="SELECT * FROM [2025-07-13T00-18_FII]"/>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78">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68"/>
        </ext>
      </extLst>
    </bk>
    <bk>
      <extLst>
        <ext uri="{3e2802c4-a4d2-4d8b-9148-e3be6c30e623}">
          <xlrd:rvb i="171"/>
        </ext>
      </extLst>
    </bk>
    <bk>
      <extLst>
        <ext uri="{3e2802c4-a4d2-4d8b-9148-e3be6c30e623}">
          <xlrd:rvb i="174"/>
        </ext>
      </extLst>
    </bk>
    <bk>
      <extLst>
        <ext uri="{3e2802c4-a4d2-4d8b-9148-e3be6c30e623}">
          <xlrd:rvb i="177"/>
        </ext>
      </extLst>
    </bk>
    <bk>
      <extLst>
        <ext uri="{3e2802c4-a4d2-4d8b-9148-e3be6c30e623}">
          <xlrd:rvb i="180"/>
        </ext>
      </extLst>
    </bk>
    <bk>
      <extLst>
        <ext uri="{3e2802c4-a4d2-4d8b-9148-e3be6c30e623}">
          <xlrd:rvb i="183"/>
        </ext>
      </extLst>
    </bk>
    <bk>
      <extLst>
        <ext uri="{3e2802c4-a4d2-4d8b-9148-e3be6c30e623}">
          <xlrd:rvb i="186"/>
        </ext>
      </extLst>
    </bk>
    <bk>
      <extLst>
        <ext uri="{3e2802c4-a4d2-4d8b-9148-e3be6c30e623}">
          <xlrd:rvb i="189"/>
        </ext>
      </extLst>
    </bk>
    <bk>
      <extLst>
        <ext uri="{3e2802c4-a4d2-4d8b-9148-e3be6c30e623}">
          <xlrd:rvb i="192"/>
        </ext>
      </extLst>
    </bk>
    <bk>
      <extLst>
        <ext uri="{3e2802c4-a4d2-4d8b-9148-e3be6c30e623}">
          <xlrd:rvb i="195"/>
        </ext>
      </extLst>
    </bk>
    <bk>
      <extLst>
        <ext uri="{3e2802c4-a4d2-4d8b-9148-e3be6c30e623}">
          <xlrd:rvb i="198"/>
        </ext>
      </extLst>
    </bk>
    <bk>
      <extLst>
        <ext uri="{3e2802c4-a4d2-4d8b-9148-e3be6c30e623}">
          <xlrd:rvb i="201"/>
        </ext>
      </extLst>
    </bk>
    <bk>
      <extLst>
        <ext uri="{3e2802c4-a4d2-4d8b-9148-e3be6c30e623}">
          <xlrd:rvb i="204"/>
        </ext>
      </extLst>
    </bk>
    <bk>
      <extLst>
        <ext uri="{3e2802c4-a4d2-4d8b-9148-e3be6c30e623}">
          <xlrd:rvb i="207"/>
        </ext>
      </extLst>
    </bk>
    <bk>
      <extLst>
        <ext uri="{3e2802c4-a4d2-4d8b-9148-e3be6c30e623}">
          <xlrd:rvb i="210"/>
        </ext>
      </extLst>
    </bk>
    <bk>
      <extLst>
        <ext uri="{3e2802c4-a4d2-4d8b-9148-e3be6c30e623}">
          <xlrd:rvb i="213"/>
        </ext>
      </extLst>
    </bk>
    <bk>
      <extLst>
        <ext uri="{3e2802c4-a4d2-4d8b-9148-e3be6c30e623}">
          <xlrd:rvb i="216"/>
        </ext>
      </extLst>
    </bk>
    <bk>
      <extLst>
        <ext uri="{3e2802c4-a4d2-4d8b-9148-e3be6c30e623}">
          <xlrd:rvb i="219"/>
        </ext>
      </extLst>
    </bk>
    <bk>
      <extLst>
        <ext uri="{3e2802c4-a4d2-4d8b-9148-e3be6c30e623}">
          <xlrd:rvb i="222"/>
        </ext>
      </extLst>
    </bk>
    <bk>
      <extLst>
        <ext uri="{3e2802c4-a4d2-4d8b-9148-e3be6c30e623}">
          <xlrd:rvb i="225"/>
        </ext>
      </extLst>
    </bk>
    <bk>
      <extLst>
        <ext uri="{3e2802c4-a4d2-4d8b-9148-e3be6c30e623}">
          <xlrd:rvb i="228"/>
        </ext>
      </extLst>
    </bk>
    <bk>
      <extLst>
        <ext uri="{3e2802c4-a4d2-4d8b-9148-e3be6c30e623}">
          <xlrd:rvb i="231"/>
        </ext>
      </extLst>
    </bk>
    <bk>
      <extLst>
        <ext uri="{3e2802c4-a4d2-4d8b-9148-e3be6c30e623}">
          <xlrd:rvb i="234"/>
        </ext>
      </extLst>
    </bk>
    <bk>
      <extLst>
        <ext uri="{3e2802c4-a4d2-4d8b-9148-e3be6c30e623}">
          <xlrd:rvb i="237"/>
        </ext>
      </extLst>
    </bk>
    <bk>
      <extLst>
        <ext uri="{3e2802c4-a4d2-4d8b-9148-e3be6c30e623}">
          <xlrd:rvb i="240"/>
        </ext>
      </extLst>
    </bk>
    <bk>
      <extLst>
        <ext uri="{3e2802c4-a4d2-4d8b-9148-e3be6c30e623}">
          <xlrd:rvb i="243"/>
        </ext>
      </extLst>
    </bk>
    <bk>
      <extLst>
        <ext uri="{3e2802c4-a4d2-4d8b-9148-e3be6c30e623}">
          <xlrd:rvb i="246"/>
        </ext>
      </extLst>
    </bk>
    <bk>
      <extLst>
        <ext uri="{3e2802c4-a4d2-4d8b-9148-e3be6c30e623}">
          <xlrd:rvb i="249"/>
        </ext>
      </extLst>
    </bk>
    <bk>
      <extLst>
        <ext uri="{3e2802c4-a4d2-4d8b-9148-e3be6c30e623}">
          <xlrd:rvb i="252"/>
        </ext>
      </extLst>
    </bk>
    <bk>
      <extLst>
        <ext uri="{3e2802c4-a4d2-4d8b-9148-e3be6c30e623}">
          <xlrd:rvb i="255"/>
        </ext>
      </extLst>
    </bk>
    <bk>
      <extLst>
        <ext uri="{3e2802c4-a4d2-4d8b-9148-e3be6c30e623}">
          <xlrd:rvb i="258"/>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27"/>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4"/>
        </ext>
      </extLst>
    </bk>
    <bk>
      <extLst>
        <ext uri="{3e2802c4-a4d2-4d8b-9148-e3be6c30e623}">
          <xlrd:rvb i="367"/>
        </ext>
      </extLst>
    </bk>
    <bk>
      <extLst>
        <ext uri="{3e2802c4-a4d2-4d8b-9148-e3be6c30e623}">
          <xlrd:rvb i="370"/>
        </ext>
      </extLst>
    </bk>
    <bk>
      <extLst>
        <ext uri="{3e2802c4-a4d2-4d8b-9148-e3be6c30e623}">
          <xlrd:rvb i="373"/>
        </ext>
      </extLst>
    </bk>
    <bk>
      <extLst>
        <ext uri="{3e2802c4-a4d2-4d8b-9148-e3be6c30e623}">
          <xlrd:rvb i="376"/>
        </ext>
      </extLst>
    </bk>
    <bk>
      <extLst>
        <ext uri="{3e2802c4-a4d2-4d8b-9148-e3be6c30e623}">
          <xlrd:rvb i="379"/>
        </ext>
      </extLst>
    </bk>
    <bk>
      <extLst>
        <ext uri="{3e2802c4-a4d2-4d8b-9148-e3be6c30e623}">
          <xlrd:rvb i="382"/>
        </ext>
      </extLst>
    </bk>
    <bk>
      <extLst>
        <ext uri="{3e2802c4-a4d2-4d8b-9148-e3be6c30e623}">
          <xlrd:rvb i="385"/>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2"/>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3"/>
        </ext>
      </extLst>
    </bk>
    <bk>
      <extLst>
        <ext uri="{3e2802c4-a4d2-4d8b-9148-e3be6c30e623}">
          <xlrd:rvb i="456"/>
        </ext>
      </extLst>
    </bk>
    <bk>
      <extLst>
        <ext uri="{3e2802c4-a4d2-4d8b-9148-e3be6c30e623}">
          <xlrd:rvb i="459"/>
        </ext>
      </extLst>
    </bk>
    <bk>
      <extLst>
        <ext uri="{3e2802c4-a4d2-4d8b-9148-e3be6c30e623}">
          <xlrd:rvb i="462"/>
        </ext>
      </extLst>
    </bk>
    <bk>
      <extLst>
        <ext uri="{3e2802c4-a4d2-4d8b-9148-e3be6c30e623}">
          <xlrd:rvb i="465"/>
        </ext>
      </extLst>
    </bk>
    <bk>
      <extLst>
        <ext uri="{3e2802c4-a4d2-4d8b-9148-e3be6c30e623}">
          <xlrd:rvb i="468"/>
        </ext>
      </extLst>
    </bk>
    <bk>
      <extLst>
        <ext uri="{3e2802c4-a4d2-4d8b-9148-e3be6c30e623}">
          <xlrd:rvb i="471"/>
        </ext>
      </extLst>
    </bk>
    <bk>
      <extLst>
        <ext uri="{3e2802c4-a4d2-4d8b-9148-e3be6c30e623}">
          <xlrd:rvb i="474"/>
        </ext>
      </extLst>
    </bk>
    <bk>
      <extLst>
        <ext uri="{3e2802c4-a4d2-4d8b-9148-e3be6c30e623}">
          <xlrd:rvb i="477"/>
        </ext>
      </extLst>
    </bk>
    <bk>
      <extLst>
        <ext uri="{3e2802c4-a4d2-4d8b-9148-e3be6c30e623}">
          <xlrd:rvb i="480"/>
        </ext>
      </extLst>
    </bk>
    <bk>
      <extLst>
        <ext uri="{3e2802c4-a4d2-4d8b-9148-e3be6c30e623}">
          <xlrd:rvb i="483"/>
        </ext>
      </extLst>
    </bk>
    <bk>
      <extLst>
        <ext uri="{3e2802c4-a4d2-4d8b-9148-e3be6c30e623}">
          <xlrd:rvb i="486"/>
        </ext>
      </extLst>
    </bk>
    <bk>
      <extLst>
        <ext uri="{3e2802c4-a4d2-4d8b-9148-e3be6c30e623}">
          <xlrd:rvb i="489"/>
        </ext>
      </extLst>
    </bk>
    <bk>
      <extLst>
        <ext uri="{3e2802c4-a4d2-4d8b-9148-e3be6c30e623}">
          <xlrd:rvb i="492"/>
        </ext>
      </extLst>
    </bk>
    <bk>
      <extLst>
        <ext uri="{3e2802c4-a4d2-4d8b-9148-e3be6c30e623}">
          <xlrd:rvb i="495"/>
        </ext>
      </extLst>
    </bk>
    <bk>
      <extLst>
        <ext uri="{3e2802c4-a4d2-4d8b-9148-e3be6c30e623}">
          <xlrd:rvb i="498"/>
        </ext>
      </extLst>
    </bk>
    <bk>
      <extLst>
        <ext uri="{3e2802c4-a4d2-4d8b-9148-e3be6c30e623}">
          <xlrd:rvb i="501"/>
        </ext>
      </extLst>
    </bk>
    <bk>
      <extLst>
        <ext uri="{3e2802c4-a4d2-4d8b-9148-e3be6c30e623}">
          <xlrd:rvb i="504"/>
        </ext>
      </extLst>
    </bk>
    <bk>
      <extLst>
        <ext uri="{3e2802c4-a4d2-4d8b-9148-e3be6c30e623}">
          <xlrd:rvb i="510"/>
        </ext>
      </extLst>
    </bk>
    <bk>
      <extLst>
        <ext uri="{3e2802c4-a4d2-4d8b-9148-e3be6c30e623}">
          <xlrd:rvb i="513"/>
        </ext>
      </extLst>
    </bk>
    <bk>
      <extLst>
        <ext uri="{3e2802c4-a4d2-4d8b-9148-e3be6c30e623}">
          <xlrd:rvb i="516"/>
        </ext>
      </extLst>
    </bk>
    <bk>
      <extLst>
        <ext uri="{3e2802c4-a4d2-4d8b-9148-e3be6c30e623}">
          <xlrd:rvb i="519"/>
        </ext>
      </extLst>
    </bk>
    <bk>
      <extLst>
        <ext uri="{3e2802c4-a4d2-4d8b-9148-e3be6c30e623}">
          <xlrd:rvb i="522"/>
        </ext>
      </extLst>
    </bk>
    <bk>
      <extLst>
        <ext uri="{3e2802c4-a4d2-4d8b-9148-e3be6c30e623}">
          <xlrd:rvb i="525"/>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2"/>
        </ext>
      </extLst>
    </bk>
    <bk>
      <extLst>
        <ext uri="{3e2802c4-a4d2-4d8b-9148-e3be6c30e623}">
          <xlrd:rvb i="555"/>
        </ext>
      </extLst>
    </bk>
    <bk>
      <extLst>
        <ext uri="{3e2802c4-a4d2-4d8b-9148-e3be6c30e623}">
          <xlrd:rvb i="558"/>
        </ext>
      </extLst>
    </bk>
    <bk>
      <extLst>
        <ext uri="{3e2802c4-a4d2-4d8b-9148-e3be6c30e623}">
          <xlrd:rvb i="561"/>
        </ext>
      </extLst>
    </bk>
    <bk>
      <extLst>
        <ext uri="{3e2802c4-a4d2-4d8b-9148-e3be6c30e623}">
          <xlrd:rvb i="564"/>
        </ext>
      </extLst>
    </bk>
    <bk>
      <extLst>
        <ext uri="{3e2802c4-a4d2-4d8b-9148-e3be6c30e623}">
          <xlrd:rvb i="567"/>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0"/>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5"/>
        </ext>
      </extLst>
    </bk>
    <bk>
      <extLst>
        <ext uri="{3e2802c4-a4d2-4d8b-9148-e3be6c30e623}">
          <xlrd:rvb i="648"/>
        </ext>
      </extLst>
    </bk>
    <bk>
      <extLst>
        <ext uri="{3e2802c4-a4d2-4d8b-9148-e3be6c30e623}">
          <xlrd:rvb i="651"/>
        </ext>
      </extLst>
    </bk>
    <bk>
      <extLst>
        <ext uri="{3e2802c4-a4d2-4d8b-9148-e3be6c30e623}">
          <xlrd:rvb i="654"/>
        </ext>
      </extLst>
    </bk>
    <bk>
      <extLst>
        <ext uri="{3e2802c4-a4d2-4d8b-9148-e3be6c30e623}">
          <xlrd:rvb i="657"/>
        </ext>
      </extLst>
    </bk>
    <bk>
      <extLst>
        <ext uri="{3e2802c4-a4d2-4d8b-9148-e3be6c30e623}">
          <xlrd:rvb i="660"/>
        </ext>
      </extLst>
    </bk>
    <bk>
      <extLst>
        <ext uri="{3e2802c4-a4d2-4d8b-9148-e3be6c30e623}">
          <xlrd:rvb i="663"/>
        </ext>
      </extLst>
    </bk>
    <bk>
      <extLst>
        <ext uri="{3e2802c4-a4d2-4d8b-9148-e3be6c30e623}">
          <xlrd:rvb i="666"/>
        </ext>
      </extLst>
    </bk>
    <bk>
      <extLst>
        <ext uri="{3e2802c4-a4d2-4d8b-9148-e3be6c30e623}">
          <xlrd:rvb i="669"/>
        </ext>
      </extLst>
    </bk>
    <bk>
      <extLst>
        <ext uri="{3e2802c4-a4d2-4d8b-9148-e3be6c30e623}">
          <xlrd:rvb i="672"/>
        </ext>
      </extLst>
    </bk>
    <bk>
      <extLst>
        <ext uri="{3e2802c4-a4d2-4d8b-9148-e3be6c30e623}">
          <xlrd:rvb i="675"/>
        </ext>
      </extLst>
    </bk>
    <bk>
      <extLst>
        <ext uri="{3e2802c4-a4d2-4d8b-9148-e3be6c30e623}">
          <xlrd:rvb i="678"/>
        </ext>
      </extLst>
    </bk>
    <bk>
      <extLst>
        <ext uri="{3e2802c4-a4d2-4d8b-9148-e3be6c30e623}">
          <xlrd:rvb i="681"/>
        </ext>
      </extLst>
    </bk>
    <bk>
      <extLst>
        <ext uri="{3e2802c4-a4d2-4d8b-9148-e3be6c30e623}">
          <xlrd:rvb i="684"/>
        </ext>
      </extLst>
    </bk>
    <bk>
      <extLst>
        <ext uri="{3e2802c4-a4d2-4d8b-9148-e3be6c30e623}">
          <xlrd:rvb i="687"/>
        </ext>
      </extLst>
    </bk>
    <bk>
      <extLst>
        <ext uri="{3e2802c4-a4d2-4d8b-9148-e3be6c30e623}">
          <xlrd:rvb i="690"/>
        </ext>
      </extLst>
    </bk>
    <bk>
      <extLst>
        <ext uri="{3e2802c4-a4d2-4d8b-9148-e3be6c30e623}">
          <xlrd:rvb i="693"/>
        </ext>
      </extLst>
    </bk>
    <bk>
      <extLst>
        <ext uri="{3e2802c4-a4d2-4d8b-9148-e3be6c30e623}">
          <xlrd:rvb i="696"/>
        </ext>
      </extLst>
    </bk>
    <bk>
      <extLst>
        <ext uri="{3e2802c4-a4d2-4d8b-9148-e3be6c30e623}">
          <xlrd:rvb i="699"/>
        </ext>
      </extLst>
    </bk>
    <bk>
      <extLst>
        <ext uri="{3e2802c4-a4d2-4d8b-9148-e3be6c30e623}">
          <xlrd:rvb i="702"/>
        </ext>
      </extLst>
    </bk>
    <bk>
      <extLst>
        <ext uri="{3e2802c4-a4d2-4d8b-9148-e3be6c30e623}">
          <xlrd:rvb i="705"/>
        </ext>
      </extLst>
    </bk>
    <bk>
      <extLst>
        <ext uri="{3e2802c4-a4d2-4d8b-9148-e3be6c30e623}">
          <xlrd:rvb i="708"/>
        </ext>
      </extLst>
    </bk>
    <bk>
      <extLst>
        <ext uri="{3e2802c4-a4d2-4d8b-9148-e3be6c30e623}">
          <xlrd:rvb i="711"/>
        </ext>
      </extLst>
    </bk>
    <bk>
      <extLst>
        <ext uri="{3e2802c4-a4d2-4d8b-9148-e3be6c30e623}">
          <xlrd:rvb i="714"/>
        </ext>
      </extLst>
    </bk>
    <bk>
      <extLst>
        <ext uri="{3e2802c4-a4d2-4d8b-9148-e3be6c30e623}">
          <xlrd:rvb i="717"/>
        </ext>
      </extLst>
    </bk>
    <bk>
      <extLst>
        <ext uri="{3e2802c4-a4d2-4d8b-9148-e3be6c30e623}">
          <xlrd:rvb i="720"/>
        </ext>
      </extLst>
    </bk>
    <bk>
      <extLst>
        <ext uri="{3e2802c4-a4d2-4d8b-9148-e3be6c30e623}">
          <xlrd:rvb i="723"/>
        </ext>
      </extLst>
    </bk>
    <bk>
      <extLst>
        <ext uri="{3e2802c4-a4d2-4d8b-9148-e3be6c30e623}">
          <xlrd:rvb i="726"/>
        </ext>
      </extLst>
    </bk>
    <bk>
      <extLst>
        <ext uri="{3e2802c4-a4d2-4d8b-9148-e3be6c30e623}">
          <xlrd:rvb i="732"/>
        </ext>
      </extLst>
    </bk>
    <bk>
      <extLst>
        <ext uri="{3e2802c4-a4d2-4d8b-9148-e3be6c30e623}">
          <xlrd:rvb i="735"/>
        </ext>
      </extLst>
    </bk>
    <bk>
      <extLst>
        <ext uri="{3e2802c4-a4d2-4d8b-9148-e3be6c30e623}">
          <xlrd:rvb i="738"/>
        </ext>
      </extLst>
    </bk>
    <bk>
      <extLst>
        <ext uri="{3e2802c4-a4d2-4d8b-9148-e3be6c30e623}">
          <xlrd:rvb i="741"/>
        </ext>
      </extLst>
    </bk>
    <bk>
      <extLst>
        <ext uri="{3e2802c4-a4d2-4d8b-9148-e3be6c30e623}">
          <xlrd:rvb i="744"/>
        </ext>
      </extLst>
    </bk>
    <bk>
      <extLst>
        <ext uri="{3e2802c4-a4d2-4d8b-9148-e3be6c30e623}">
          <xlrd:rvb i="747"/>
        </ext>
      </extLst>
    </bk>
    <bk>
      <extLst>
        <ext uri="{3e2802c4-a4d2-4d8b-9148-e3be6c30e623}">
          <xlrd:rvb i="750"/>
        </ext>
      </extLst>
    </bk>
    <bk>
      <extLst>
        <ext uri="{3e2802c4-a4d2-4d8b-9148-e3be6c30e623}">
          <xlrd:rvb i="753"/>
        </ext>
      </extLst>
    </bk>
    <bk>
      <extLst>
        <ext uri="{3e2802c4-a4d2-4d8b-9148-e3be6c30e623}">
          <xlrd:rvb i="756"/>
        </ext>
      </extLst>
    </bk>
    <bk>
      <extLst>
        <ext uri="{3e2802c4-a4d2-4d8b-9148-e3be6c30e623}">
          <xlrd:rvb i="759"/>
        </ext>
      </extLst>
    </bk>
    <bk>
      <extLst>
        <ext uri="{3e2802c4-a4d2-4d8b-9148-e3be6c30e623}">
          <xlrd:rvb i="762"/>
        </ext>
      </extLst>
    </bk>
    <bk>
      <extLst>
        <ext uri="{3e2802c4-a4d2-4d8b-9148-e3be6c30e623}">
          <xlrd:rvb i="765"/>
        </ext>
      </extLst>
    </bk>
    <bk>
      <extLst>
        <ext uri="{3e2802c4-a4d2-4d8b-9148-e3be6c30e623}">
          <xlrd:rvb i="768"/>
        </ext>
      </extLst>
    </bk>
    <bk>
      <extLst>
        <ext uri="{3e2802c4-a4d2-4d8b-9148-e3be6c30e623}">
          <xlrd:rvb i="771"/>
        </ext>
      </extLst>
    </bk>
    <bk>
      <extLst>
        <ext uri="{3e2802c4-a4d2-4d8b-9148-e3be6c30e623}">
          <xlrd:rvb i="774"/>
        </ext>
      </extLst>
    </bk>
    <bk>
      <extLst>
        <ext uri="{3e2802c4-a4d2-4d8b-9148-e3be6c30e623}">
          <xlrd:rvb i="777"/>
        </ext>
      </extLst>
    </bk>
    <bk>
      <extLst>
        <ext uri="{3e2802c4-a4d2-4d8b-9148-e3be6c30e623}">
          <xlrd:rvb i="780"/>
        </ext>
      </extLst>
    </bk>
    <bk>
      <extLst>
        <ext uri="{3e2802c4-a4d2-4d8b-9148-e3be6c30e623}">
          <xlrd:rvb i="783"/>
        </ext>
      </extLst>
    </bk>
    <bk>
      <extLst>
        <ext uri="{3e2802c4-a4d2-4d8b-9148-e3be6c30e623}">
          <xlrd:rvb i="786"/>
        </ext>
      </extLst>
    </bk>
    <bk>
      <extLst>
        <ext uri="{3e2802c4-a4d2-4d8b-9148-e3be6c30e623}">
          <xlrd:rvb i="789"/>
        </ext>
      </extLst>
    </bk>
    <bk>
      <extLst>
        <ext uri="{3e2802c4-a4d2-4d8b-9148-e3be6c30e623}">
          <xlrd:rvb i="792"/>
        </ext>
      </extLst>
    </bk>
    <bk>
      <extLst>
        <ext uri="{3e2802c4-a4d2-4d8b-9148-e3be6c30e623}">
          <xlrd:rvb i="795"/>
        </ext>
      </extLst>
    </bk>
    <bk>
      <extLst>
        <ext uri="{3e2802c4-a4d2-4d8b-9148-e3be6c30e623}">
          <xlrd:rvb i="798"/>
        </ext>
      </extLst>
    </bk>
    <bk>
      <extLst>
        <ext uri="{3e2802c4-a4d2-4d8b-9148-e3be6c30e623}">
          <xlrd:rvb i="801"/>
        </ext>
      </extLst>
    </bk>
    <bk>
      <extLst>
        <ext uri="{3e2802c4-a4d2-4d8b-9148-e3be6c30e623}">
          <xlrd:rvb i="804"/>
        </ext>
      </extLst>
    </bk>
    <bk>
      <extLst>
        <ext uri="{3e2802c4-a4d2-4d8b-9148-e3be6c30e623}">
          <xlrd:rvb i="807"/>
        </ext>
      </extLst>
    </bk>
    <bk>
      <extLst>
        <ext uri="{3e2802c4-a4d2-4d8b-9148-e3be6c30e623}">
          <xlrd:rvb i="810"/>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2"/>
        </ext>
      </extLst>
    </bk>
  </futureMetadata>
  <cellMetadata count="1">
    <bk>
      <rc t="1" v="0"/>
    </bk>
  </cellMetadata>
  <valueMetadata count="27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valueMetadata>
</metadata>
</file>

<file path=xl/sharedStrings.xml><?xml version="1.0" encoding="utf-8"?>
<sst xmlns="http://schemas.openxmlformats.org/spreadsheetml/2006/main" count="958" uniqueCount="662">
  <si>
    <t>02/0/2024</t>
  </si>
  <si>
    <t>16/0/2024</t>
  </si>
  <si>
    <t>06/092024</t>
  </si>
  <si>
    <t>EQPA7</t>
  </si>
  <si>
    <t>CGRA4</t>
  </si>
  <si>
    <t>ISAE4</t>
  </si>
  <si>
    <t>BEES3</t>
  </si>
  <si>
    <t>ABEV3</t>
  </si>
  <si>
    <t>RPMG3</t>
  </si>
  <si>
    <t>DMVF3</t>
  </si>
  <si>
    <t>SLCE3</t>
  </si>
  <si>
    <t>EUCA4</t>
  </si>
  <si>
    <t>SANB4</t>
  </si>
  <si>
    <t>WHRL4</t>
  </si>
  <si>
    <t>TELB4</t>
  </si>
  <si>
    <t>PETR4</t>
  </si>
  <si>
    <t>PSSA3</t>
  </si>
  <si>
    <t>SHUL4</t>
  </si>
  <si>
    <t>LEVE3</t>
  </si>
  <si>
    <t>CPLE6</t>
  </si>
  <si>
    <t>CEBR6</t>
  </si>
  <si>
    <t>PRNR3</t>
  </si>
  <si>
    <t>CMIG4</t>
  </si>
  <si>
    <t>BEES4</t>
  </si>
  <si>
    <t>POMO3</t>
  </si>
  <si>
    <t>BMOB3</t>
  </si>
  <si>
    <t>MTSA4</t>
  </si>
  <si>
    <t>CAMB3</t>
  </si>
  <si>
    <t>BRAP3</t>
  </si>
  <si>
    <t>HAGA4</t>
  </si>
  <si>
    <t>SANB3</t>
  </si>
  <si>
    <t>CSUD3</t>
  </si>
  <si>
    <t>TOTS3</t>
  </si>
  <si>
    <t>GGBR3</t>
  </si>
  <si>
    <t>CRFB3</t>
  </si>
  <si>
    <t>SAPR3</t>
  </si>
  <si>
    <t>ABCB4</t>
  </si>
  <si>
    <t>BRSR6</t>
  </si>
  <si>
    <t>PORT3</t>
  </si>
  <si>
    <t>PINE4</t>
  </si>
  <si>
    <t>ITSA3</t>
  </si>
  <si>
    <t>MEAL3</t>
  </si>
  <si>
    <t>BBSE3</t>
  </si>
  <si>
    <t>GOAU3</t>
  </si>
  <si>
    <t>ITUB4</t>
  </si>
  <si>
    <t>AGRO3</t>
  </si>
  <si>
    <t>BMGB4</t>
  </si>
  <si>
    <t>LAND3</t>
  </si>
  <si>
    <t>GGBR4</t>
  </si>
  <si>
    <t>ITSA4</t>
  </si>
  <si>
    <t>SMFT3</t>
  </si>
  <si>
    <t>FLRY3</t>
  </si>
  <si>
    <t>ROMI3</t>
  </si>
  <si>
    <t>TAEE4</t>
  </si>
  <si>
    <t>RAIL3</t>
  </si>
  <si>
    <t>CYRE3</t>
  </si>
  <si>
    <t>CXSE3</t>
  </si>
  <si>
    <t>ALLD3</t>
  </si>
  <si>
    <t>DEXP3</t>
  </si>
  <si>
    <t>VLID3</t>
  </si>
  <si>
    <t>HAGA3</t>
  </si>
  <si>
    <t>BRAV3</t>
  </si>
  <si>
    <t>ITUB3</t>
  </si>
  <si>
    <t>STBP3</t>
  </si>
  <si>
    <t>TEND3</t>
  </si>
  <si>
    <t>FRAS3</t>
  </si>
  <si>
    <t>ALUP4</t>
  </si>
  <si>
    <t>ALPA4</t>
  </si>
  <si>
    <t>TGMA3</t>
  </si>
  <si>
    <t>REDE3</t>
  </si>
  <si>
    <t>RNEW3</t>
  </si>
  <si>
    <t>CVCB3</t>
  </si>
  <si>
    <t>ORVR3</t>
  </si>
  <si>
    <t>IRBR3</t>
  </si>
  <si>
    <t>EALT4</t>
  </si>
  <si>
    <t>GRND3</t>
  </si>
  <si>
    <t>BPAN4</t>
  </si>
  <si>
    <t>WEGE3</t>
  </si>
  <si>
    <t>EGIE3</t>
  </si>
  <si>
    <t>JBSS3</t>
  </si>
  <si>
    <t>PFRM3</t>
  </si>
  <si>
    <t>EQTL3</t>
  </si>
  <si>
    <t>NEOE3</t>
  </si>
  <si>
    <t>POSI3</t>
  </si>
  <si>
    <t>WEST3</t>
  </si>
  <si>
    <t>MDIA3</t>
  </si>
  <si>
    <t>SAPR4</t>
  </si>
  <si>
    <t>AURE3</t>
  </si>
  <si>
    <t>RNEW4</t>
  </si>
  <si>
    <t>LAVV3</t>
  </si>
  <si>
    <t>EZTC3</t>
  </si>
  <si>
    <t>SUZB3</t>
  </si>
  <si>
    <t>BMEB4</t>
  </si>
  <si>
    <t>CPLE3</t>
  </si>
  <si>
    <t>PETR3</t>
  </si>
  <si>
    <t>BBDC3</t>
  </si>
  <si>
    <t>POMO4</t>
  </si>
  <si>
    <t>VALE3</t>
  </si>
  <si>
    <t>RADL3</t>
  </si>
  <si>
    <t>GGPS3</t>
  </si>
  <si>
    <t>HBSA3</t>
  </si>
  <si>
    <t>CCRO3</t>
  </si>
  <si>
    <t>MELK3</t>
  </si>
  <si>
    <t>CPFE3</t>
  </si>
  <si>
    <t>SBSP3</t>
  </si>
  <si>
    <t>SOJA3</t>
  </si>
  <si>
    <t>PTNT4</t>
  </si>
  <si>
    <t>DESK3</t>
  </si>
  <si>
    <t>IGTI3</t>
  </si>
  <si>
    <t>KEPL3</t>
  </si>
  <si>
    <t>BBDC4</t>
  </si>
  <si>
    <t>MRFG3</t>
  </si>
  <si>
    <t>JFEN3</t>
  </si>
  <si>
    <t>USIM3</t>
  </si>
  <si>
    <t>CURY3</t>
  </si>
  <si>
    <t>UGPA3</t>
  </si>
  <si>
    <t>VBBR3</t>
  </si>
  <si>
    <t>TRIS3</t>
  </si>
  <si>
    <t>ELET3</t>
  </si>
  <si>
    <t>WIZC3</t>
  </si>
  <si>
    <t>DIRR3</t>
  </si>
  <si>
    <t>NTCO3</t>
  </si>
  <si>
    <t>EVEN3</t>
  </si>
  <si>
    <t>OPCT3</t>
  </si>
  <si>
    <t>UCAS3</t>
  </si>
  <si>
    <t>USIM5</t>
  </si>
  <si>
    <t>JALL3</t>
  </si>
  <si>
    <t>BRAP4</t>
  </si>
  <si>
    <t>CSMG3</t>
  </si>
  <si>
    <t>RENT3</t>
  </si>
  <si>
    <t>RAPT4</t>
  </si>
  <si>
    <t>RAPT3</t>
  </si>
  <si>
    <t>MBLY3</t>
  </si>
  <si>
    <t>GOAU4</t>
  </si>
  <si>
    <t>DOHL4</t>
  </si>
  <si>
    <t>BRFS3</t>
  </si>
  <si>
    <t>INTB3</t>
  </si>
  <si>
    <t>CBAV3</t>
  </si>
  <si>
    <t>KLBN3</t>
  </si>
  <si>
    <t>GMAT3</t>
  </si>
  <si>
    <t>TIMS3</t>
  </si>
  <si>
    <t>BPAC3</t>
  </si>
  <si>
    <t>VIVA3</t>
  </si>
  <si>
    <t>LOGG3</t>
  </si>
  <si>
    <t>QUAL3</t>
  </si>
  <si>
    <t>PNVL3</t>
  </si>
  <si>
    <t>CLSA3</t>
  </si>
  <si>
    <t>KLBN4</t>
  </si>
  <si>
    <t>BPAC5</t>
  </si>
  <si>
    <t>DXCO3</t>
  </si>
  <si>
    <t>MYPK3</t>
  </si>
  <si>
    <t>UNIP6</t>
  </si>
  <si>
    <t>VIVT3</t>
  </si>
  <si>
    <t>PGMN3</t>
  </si>
  <si>
    <t>TFCO4</t>
  </si>
  <si>
    <t>ENEV3</t>
  </si>
  <si>
    <t>LIGT3</t>
  </si>
  <si>
    <t>CSED3</t>
  </si>
  <si>
    <t>MULT3</t>
  </si>
  <si>
    <t>MILS3</t>
  </si>
  <si>
    <t>TUPY3</t>
  </si>
  <si>
    <t>SCAR3</t>
  </si>
  <si>
    <t>LWSA3</t>
  </si>
  <si>
    <t>LPSB3</t>
  </si>
  <si>
    <t>MTRE3</t>
  </si>
  <si>
    <t>EMBR3</t>
  </si>
  <si>
    <t>ENGI4</t>
  </si>
  <si>
    <t>ANIM3</t>
  </si>
  <si>
    <t>PRIO3</t>
  </si>
  <si>
    <t>ODPV3</t>
  </si>
  <si>
    <t>RECV3</t>
  </si>
  <si>
    <t>MDNE3</t>
  </si>
  <si>
    <t>RCSL4</t>
  </si>
  <si>
    <t>TPIS3</t>
  </si>
  <si>
    <t>TASA4</t>
  </si>
  <si>
    <t>SNSY5</t>
  </si>
  <si>
    <t>RDOR3</t>
  </si>
  <si>
    <t>ALPA3</t>
  </si>
  <si>
    <t>LVTC3</t>
  </si>
  <si>
    <t>BEEF3</t>
  </si>
  <si>
    <t>ESPA3</t>
  </si>
  <si>
    <t>MLAS3</t>
  </si>
  <si>
    <t>ASAI3</t>
  </si>
  <si>
    <t>B3SA3</t>
  </si>
  <si>
    <t>KRSA3</t>
  </si>
  <si>
    <t>BOBR4</t>
  </si>
  <si>
    <t>ETER3</t>
  </si>
  <si>
    <t>BLAU3</t>
  </si>
  <si>
    <t>MATD3</t>
  </si>
  <si>
    <t>TRAD3</t>
  </si>
  <si>
    <t>VULC3</t>
  </si>
  <si>
    <t>LUPA3</t>
  </si>
  <si>
    <t>ECOR3</t>
  </si>
  <si>
    <t>PDGR3</t>
  </si>
  <si>
    <t>COCE5</t>
  </si>
  <si>
    <t>CEAB3</t>
  </si>
  <si>
    <t>AMBP3</t>
  </si>
  <si>
    <t>NGRD3</t>
  </si>
  <si>
    <t>SEER3</t>
  </si>
  <si>
    <t>TASA3</t>
  </si>
  <si>
    <t>SBFG3</t>
  </si>
  <si>
    <t>TECN3</t>
  </si>
  <si>
    <t>SMTO3</t>
  </si>
  <si>
    <t>RANI3</t>
  </si>
  <si>
    <t>PETZ3</t>
  </si>
  <si>
    <t>LREN3</t>
  </si>
  <si>
    <t>YDUQ3</t>
  </si>
  <si>
    <t>JSLG3</t>
  </si>
  <si>
    <t>ONCO3</t>
  </si>
  <si>
    <t>AALR3</t>
  </si>
  <si>
    <t>HBOR3</t>
  </si>
  <si>
    <t>CRPG5</t>
  </si>
  <si>
    <t>LOGN3</t>
  </si>
  <si>
    <t>VAMO3</t>
  </si>
  <si>
    <t>JHSF3</t>
  </si>
  <si>
    <t>SIMH3</t>
  </si>
  <si>
    <t>GUAR3</t>
  </si>
  <si>
    <t>SGPS3</t>
  </si>
  <si>
    <t>COGN3</t>
  </si>
  <si>
    <t>OIBR4</t>
  </si>
  <si>
    <t>VITT3</t>
  </si>
  <si>
    <t>PTBL3</t>
  </si>
  <si>
    <t>VVEO3</t>
  </si>
  <si>
    <t>HBRE3</t>
  </si>
  <si>
    <t>RDNI3</t>
  </si>
  <si>
    <t>PCAR3</t>
  </si>
  <si>
    <t>CASH3</t>
  </si>
  <si>
    <t>FHER3</t>
  </si>
  <si>
    <t>GFSA3</t>
  </si>
  <si>
    <t>HYPE3</t>
  </si>
  <si>
    <t>ENJU3</t>
  </si>
  <si>
    <t>RAIZ4</t>
  </si>
  <si>
    <t>BBAS3</t>
  </si>
  <si>
    <t>EPAR3</t>
  </si>
  <si>
    <t>SYNE3</t>
  </si>
  <si>
    <t>MRVE3</t>
  </si>
  <si>
    <t>MOVI3</t>
  </si>
  <si>
    <t>AZEV4</t>
  </si>
  <si>
    <t>CSNA3</t>
  </si>
  <si>
    <t>CTNM4</t>
  </si>
  <si>
    <t>IFCM3</t>
  </si>
  <si>
    <t>HAPV3</t>
  </si>
  <si>
    <t>SEQL3</t>
  </si>
  <si>
    <t>ZAMP3</t>
  </si>
  <si>
    <t>INEP4</t>
  </si>
  <si>
    <t>OIBR3</t>
  </si>
  <si>
    <t>CSAN3</t>
  </si>
  <si>
    <t>BRKM3</t>
  </si>
  <si>
    <t>SHOW3</t>
  </si>
  <si>
    <t>AZEV3</t>
  </si>
  <si>
    <t>GOLL4</t>
  </si>
  <si>
    <t>CAML3</t>
  </si>
  <si>
    <t>FESA4</t>
  </si>
  <si>
    <t>LJQQ3</t>
  </si>
  <si>
    <t>VIVR3</t>
  </si>
  <si>
    <t>DASA3</t>
  </si>
  <si>
    <t>RSID3</t>
  </si>
  <si>
    <t>TCSA3</t>
  </si>
  <si>
    <t>AZUL4</t>
  </si>
  <si>
    <t>DOTZ3</t>
  </si>
  <si>
    <t>PMAM3</t>
  </si>
  <si>
    <t>VSTE3</t>
  </si>
  <si>
    <t>MGEL4</t>
  </si>
  <si>
    <t>RCSL3</t>
  </si>
  <si>
    <t>ARML3</t>
  </si>
  <si>
    <t>ATMP3</t>
  </si>
  <si>
    <t>CIEL3</t>
  </si>
  <si>
    <t>TAEE3</t>
  </si>
  <si>
    <t>Amplitude</t>
  </si>
  <si>
    <t>K (3)</t>
  </si>
  <si>
    <t>K (9)</t>
  </si>
  <si>
    <t>K (5)</t>
  </si>
  <si>
    <t>Cotação</t>
  </si>
  <si>
    <t>Menor</t>
  </si>
  <si>
    <t>Fechamento</t>
  </si>
  <si>
    <t>K(2)</t>
  </si>
  <si>
    <t>Delta</t>
  </si>
  <si>
    <t>DesvP</t>
  </si>
  <si>
    <t>Maior</t>
  </si>
  <si>
    <t>k(17)</t>
  </si>
  <si>
    <t>k (33)</t>
  </si>
  <si>
    <t>k (65)</t>
  </si>
  <si>
    <t>k (17)</t>
  </si>
  <si>
    <t>k (65</t>
  </si>
  <si>
    <t>Volume</t>
  </si>
  <si>
    <t>B</t>
  </si>
  <si>
    <t>Papel</t>
  </si>
  <si>
    <t>P/L</t>
  </si>
  <si>
    <t>P/VP</t>
  </si>
  <si>
    <t>PSR</t>
  </si>
  <si>
    <t>Div.Yield</t>
  </si>
  <si>
    <t>P/Ativo</t>
  </si>
  <si>
    <t>P/Cap.Giro</t>
  </si>
  <si>
    <t>P/EBIT</t>
  </si>
  <si>
    <t>P/Ativ Circ.Liq</t>
  </si>
  <si>
    <t>EV/EBIT</t>
  </si>
  <si>
    <t>EV/EBITDA</t>
  </si>
  <si>
    <t>Mrg Ebit</t>
  </si>
  <si>
    <t>Mrg. Líq.</t>
  </si>
  <si>
    <t>Liq. Corr.</t>
  </si>
  <si>
    <t>ROIC</t>
  </si>
  <si>
    <t>ROE</t>
  </si>
  <si>
    <t>Liq.2meses</t>
  </si>
  <si>
    <t>Patrim. Líq</t>
  </si>
  <si>
    <t>Dív.Brut/ Patrim.</t>
  </si>
  <si>
    <t>Cresc. Rec.5a</t>
  </si>
  <si>
    <t>ADHM3</t>
  </si>
  <si>
    <t>AERI3</t>
  </si>
  <si>
    <t>AFLT3</t>
  </si>
  <si>
    <t>AGXY3</t>
  </si>
  <si>
    <t>AHEB3</t>
  </si>
  <si>
    <t>AHEB5</t>
  </si>
  <si>
    <t>AHEB6</t>
  </si>
  <si>
    <t>ALOS3</t>
  </si>
  <si>
    <t>ALPK3</t>
  </si>
  <si>
    <t>ALUP11</t>
  </si>
  <si>
    <t>ALUP3</t>
  </si>
  <si>
    <t>AMAR3</t>
  </si>
  <si>
    <t>AMER3</t>
  </si>
  <si>
    <t>AMOB3</t>
  </si>
  <si>
    <t>ATED3</t>
  </si>
  <si>
    <t>AURA33</t>
  </si>
  <si>
    <t>AVLL3</t>
  </si>
  <si>
    <t>AZTE3</t>
  </si>
  <si>
    <t>AZZA3</t>
  </si>
  <si>
    <t>BALM3</t>
  </si>
  <si>
    <t>BALM4</t>
  </si>
  <si>
    <t>BAUH4</t>
  </si>
  <si>
    <t>BAZA3</t>
  </si>
  <si>
    <t>BDLL3</t>
  </si>
  <si>
    <t>BDLL4</t>
  </si>
  <si>
    <t>BGIP3</t>
  </si>
  <si>
    <t>BGIP4</t>
  </si>
  <si>
    <t>BHIA3</t>
  </si>
  <si>
    <t>BIED3</t>
  </si>
  <si>
    <t>BIOM3</t>
  </si>
  <si>
    <t>BLUT3</t>
  </si>
  <si>
    <t>BLUT4</t>
  </si>
  <si>
    <t>BMEB3</t>
  </si>
  <si>
    <t>BMIN3</t>
  </si>
  <si>
    <t>BMIN4</t>
  </si>
  <si>
    <t>BMKS3</t>
  </si>
  <si>
    <t>BNBR3</t>
  </si>
  <si>
    <t>BPAC11</t>
  </si>
  <si>
    <t>BRBI11</t>
  </si>
  <si>
    <t>BRKM5</t>
  </si>
  <si>
    <t>BRKM6</t>
  </si>
  <si>
    <t>BRSR3</t>
  </si>
  <si>
    <t>BRSR5</t>
  </si>
  <si>
    <t>BRST3</t>
  </si>
  <si>
    <t>BSLI3</t>
  </si>
  <si>
    <t>BSLI4</t>
  </si>
  <si>
    <t>CBEE3</t>
  </si>
  <si>
    <t>CEBR3</t>
  </si>
  <si>
    <t>CEBR5</t>
  </si>
  <si>
    <t>CEDO3</t>
  </si>
  <si>
    <t>CEDO4</t>
  </si>
  <si>
    <t>CEEB3</t>
  </si>
  <si>
    <t>CEEB5</t>
  </si>
  <si>
    <t>CEED3</t>
  </si>
  <si>
    <t>CGAS3</t>
  </si>
  <si>
    <t>CGAS5</t>
  </si>
  <si>
    <t>CGRA3</t>
  </si>
  <si>
    <t>CLSC3</t>
  </si>
  <si>
    <t>CLSC4</t>
  </si>
  <si>
    <t>CMIG3</t>
  </si>
  <si>
    <t>CMIN3</t>
  </si>
  <si>
    <t>COCE3</t>
  </si>
  <si>
    <t>CPLE5</t>
  </si>
  <si>
    <t>CRPG3</t>
  </si>
  <si>
    <t>CRPG6</t>
  </si>
  <si>
    <t>CTKA3</t>
  </si>
  <si>
    <t>CTKA4</t>
  </si>
  <si>
    <t>CTSA3</t>
  </si>
  <si>
    <t>CTSA4</t>
  </si>
  <si>
    <t>DEXP4</t>
  </si>
  <si>
    <t>DOHL3</t>
  </si>
  <si>
    <t>DTCY3</t>
  </si>
  <si>
    <t>EALT3</t>
  </si>
  <si>
    <t>EKTR3</t>
  </si>
  <si>
    <t>EKTR4</t>
  </si>
  <si>
    <t>ELET6</t>
  </si>
  <si>
    <t>ELMD3</t>
  </si>
  <si>
    <t>EMAE4</t>
  </si>
  <si>
    <t>ENGI11</t>
  </si>
  <si>
    <t>ENGI3</t>
  </si>
  <si>
    <t>ENMT3</t>
  </si>
  <si>
    <t>ENMT4</t>
  </si>
  <si>
    <t>EQMA3B</t>
  </si>
  <si>
    <t>EQPA3</t>
  </si>
  <si>
    <t>EQPA5</t>
  </si>
  <si>
    <t>ESTR4</t>
  </si>
  <si>
    <t>EUCA3</t>
  </si>
  <si>
    <t>FESA3</t>
  </si>
  <si>
    <t>FICT3</t>
  </si>
  <si>
    <t>FIEI3</t>
  </si>
  <si>
    <t>FIQE3</t>
  </si>
  <si>
    <t>FRIO3</t>
  </si>
  <si>
    <t>GEPA3</t>
  </si>
  <si>
    <t>GEPA4</t>
  </si>
  <si>
    <t>GPAR3</t>
  </si>
  <si>
    <t>GPIV33</t>
  </si>
  <si>
    <t>GSHP3</t>
  </si>
  <si>
    <t>HBTS5</t>
  </si>
  <si>
    <t>HETA4</t>
  </si>
  <si>
    <t>HOOT4</t>
  </si>
  <si>
    <t>IGBR3</t>
  </si>
  <si>
    <t>IGTI11</t>
  </si>
  <si>
    <t>INEP3</t>
  </si>
  <si>
    <t>ISAE3</t>
  </si>
  <si>
    <t>JOPA3</t>
  </si>
  <si>
    <t>JPSA3</t>
  </si>
  <si>
    <t>KLBN11</t>
  </si>
  <si>
    <t>LIPR3</t>
  </si>
  <si>
    <t>LUXM4</t>
  </si>
  <si>
    <t>MAPT3</t>
  </si>
  <si>
    <t>MAPT4</t>
  </si>
  <si>
    <t>MERC4</t>
  </si>
  <si>
    <t>MGLU3</t>
  </si>
  <si>
    <t>MNDL3</t>
  </si>
  <si>
    <t>MNPR3</t>
  </si>
  <si>
    <t>MOAR3</t>
  </si>
  <si>
    <t>MOTV3</t>
  </si>
  <si>
    <t>MRSA3B</t>
  </si>
  <si>
    <t>MRSA5B</t>
  </si>
  <si>
    <t>MRSA6B</t>
  </si>
  <si>
    <t>MWET4</t>
  </si>
  <si>
    <t>NEXP3</t>
  </si>
  <si>
    <t>NORD3</t>
  </si>
  <si>
    <t>NUTR3</t>
  </si>
  <si>
    <t>OFSA3</t>
  </si>
  <si>
    <t>OSXB3</t>
  </si>
  <si>
    <t>PATI3</t>
  </si>
  <si>
    <t>PATI4</t>
  </si>
  <si>
    <t>PDTC3</t>
  </si>
  <si>
    <t>PEAB3</t>
  </si>
  <si>
    <t>PEAB4</t>
  </si>
  <si>
    <t>PINE3</t>
  </si>
  <si>
    <t>PLAS3</t>
  </si>
  <si>
    <t>PLPL3</t>
  </si>
  <si>
    <t>PTNT3</t>
  </si>
  <si>
    <t>REAG3</t>
  </si>
  <si>
    <t>RNEW11</t>
  </si>
  <si>
    <t>RPAD3</t>
  </si>
  <si>
    <t>RPAD5</t>
  </si>
  <si>
    <t>RPAD6</t>
  </si>
  <si>
    <t>RSUL4</t>
  </si>
  <si>
    <t>SANB11</t>
  </si>
  <si>
    <t>SAPR11</t>
  </si>
  <si>
    <t>SOND5</t>
  </si>
  <si>
    <t>SOND6</t>
  </si>
  <si>
    <t>SRNA3</t>
  </si>
  <si>
    <t>TAEE11</t>
  </si>
  <si>
    <t>TELB3</t>
  </si>
  <si>
    <t>TKNO4</t>
  </si>
  <si>
    <t>TTEN3</t>
  </si>
  <si>
    <t>TXRX3</t>
  </si>
  <si>
    <t>TXRX4</t>
  </si>
  <si>
    <t>UNIP3</t>
  </si>
  <si>
    <t>UNIP5</t>
  </si>
  <si>
    <t>USIM6</t>
  </si>
  <si>
    <t>VTRU3</t>
  </si>
  <si>
    <t>WHRL3</t>
  </si>
  <si>
    <t>WLMM3</t>
  </si>
  <si>
    <t>WLMM4</t>
  </si>
  <si>
    <t>Receita</t>
  </si>
  <si>
    <t>Circulação</t>
  </si>
  <si>
    <t>Lucro Líquido</t>
  </si>
  <si>
    <t>Dívida</t>
  </si>
  <si>
    <t>EV/EBTIDA</t>
  </si>
  <si>
    <t>Cresc. 5 anos</t>
  </si>
  <si>
    <t>Margem EBIT</t>
  </si>
  <si>
    <t>ROIC (capital)</t>
  </si>
  <si>
    <t>Caixa (Liq. Corr)</t>
  </si>
  <si>
    <t>Lucro</t>
  </si>
  <si>
    <t>Valor Patr.</t>
  </si>
  <si>
    <t>Cap. Giro</t>
  </si>
  <si>
    <t>Ticker</t>
  </si>
  <si>
    <t>Var (%)</t>
  </si>
  <si>
    <t>Baixo (R$)</t>
  </si>
  <si>
    <t>Alto (R$)</t>
  </si>
  <si>
    <t>Justo (R$)</t>
  </si>
  <si>
    <t>Margem Liq (%)</t>
  </si>
  <si>
    <t>Mín (R$)</t>
  </si>
  <si>
    <t>Média (R$)</t>
  </si>
  <si>
    <t>Max (R$)</t>
  </si>
  <si>
    <t>S3 (R$)</t>
  </si>
  <si>
    <t>S2 (R$)</t>
  </si>
  <si>
    <t>S1 (R$)</t>
  </si>
  <si>
    <t>Pivô (R$)</t>
  </si>
  <si>
    <t>R1 (R$)</t>
  </si>
  <si>
    <t>R2 (R$)</t>
  </si>
  <si>
    <t>R3 (R$)</t>
  </si>
  <si>
    <t>Suporte (R$)</t>
  </si>
  <si>
    <t>Resistência (R$)</t>
  </si>
  <si>
    <t>Média Volume</t>
  </si>
  <si>
    <t>(-)</t>
  </si>
  <si>
    <t>(+)</t>
  </si>
  <si>
    <t>Posição</t>
  </si>
  <si>
    <t>GOLD11</t>
  </si>
  <si>
    <t>CTAX3</t>
  </si>
  <si>
    <t>MWET3</t>
  </si>
  <si>
    <t>ELET5</t>
  </si>
  <si>
    <t>Acm (%)</t>
  </si>
  <si>
    <t>Spread (%)</t>
  </si>
  <si>
    <t>trf55                                               ç4444444444444445x</t>
  </si>
  <si>
    <t>Alvo</t>
  </si>
  <si>
    <t>BTC-USD</t>
  </si>
  <si>
    <t>ETH-USD</t>
  </si>
  <si>
    <t>ACWI11</t>
  </si>
  <si>
    <t>AGRI11</t>
  </si>
  <si>
    <t>ALUG11</t>
  </si>
  <si>
    <t>BBOV11</t>
  </si>
  <si>
    <t>BBSD11</t>
  </si>
  <si>
    <t>BDEF11</t>
  </si>
  <si>
    <t>BDOM11</t>
  </si>
  <si>
    <t>BITH11</t>
  </si>
  <si>
    <t>BMMT11</t>
  </si>
  <si>
    <t>BOVA11</t>
  </si>
  <si>
    <t>BOVB11</t>
  </si>
  <si>
    <t>BOVV11</t>
  </si>
  <si>
    <t>BOVX11</t>
  </si>
  <si>
    <t>BRAX11</t>
  </si>
  <si>
    <t>BXPO11</t>
  </si>
  <si>
    <t>CMDB11</t>
  </si>
  <si>
    <t>CORN11</t>
  </si>
  <si>
    <t>DIVO11</t>
  </si>
  <si>
    <t>DOLA11</t>
  </si>
  <si>
    <t>ECOO11</t>
  </si>
  <si>
    <t>ESGB11</t>
  </si>
  <si>
    <t>ETHE11</t>
  </si>
  <si>
    <t>FIND11</t>
  </si>
  <si>
    <t>GENB11</t>
  </si>
  <si>
    <t>GOVE11</t>
  </si>
  <si>
    <t>HASH11</t>
  </si>
  <si>
    <t>HTEK11</t>
  </si>
  <si>
    <t>IBOB11</t>
  </si>
  <si>
    <t>IRFM11</t>
  </si>
  <si>
    <t>ISUS11</t>
  </si>
  <si>
    <t>IVVB11</t>
  </si>
  <si>
    <t>JOGO11</t>
  </si>
  <si>
    <t>LFTS11</t>
  </si>
  <si>
    <t>MATB11</t>
  </si>
  <si>
    <t>MILL11</t>
  </si>
  <si>
    <t>NASD11</t>
  </si>
  <si>
    <t>PIBB11</t>
  </si>
  <si>
    <t>QBTC11</t>
  </si>
  <si>
    <t>QETH11</t>
  </si>
  <si>
    <t>REVE11</t>
  </si>
  <si>
    <t>SMAB11</t>
  </si>
  <si>
    <t>SMAC11</t>
  </si>
  <si>
    <t>SMAL11</t>
  </si>
  <si>
    <t>SOLH11</t>
  </si>
  <si>
    <t>SPXB11</t>
  </si>
  <si>
    <t>SPXI11</t>
  </si>
  <si>
    <t>TECK11</t>
  </si>
  <si>
    <t>TRIG11</t>
  </si>
  <si>
    <t>USTK11</t>
  </si>
  <si>
    <t>WRLD11</t>
  </si>
  <si>
    <t>XBOV11</t>
  </si>
  <si>
    <t>XFIX11</t>
  </si>
  <si>
    <t>XINA11</t>
  </si>
  <si>
    <t>YDRO11</t>
  </si>
  <si>
    <t>MXRF11</t>
  </si>
  <si>
    <t>XPML11</t>
  </si>
  <si>
    <t>HGLG11</t>
  </si>
  <si>
    <t>KNCR11</t>
  </si>
  <si>
    <t>VGHF11</t>
  </si>
  <si>
    <t>BTLG11</t>
  </si>
  <si>
    <t>CPTS11</t>
  </si>
  <si>
    <t>VISC11</t>
  </si>
  <si>
    <t>XPLG11</t>
  </si>
  <si>
    <t>KNRI11</t>
  </si>
  <si>
    <t>IRDM11</t>
  </si>
  <si>
    <t>GARE11</t>
  </si>
  <si>
    <t>VGIR11</t>
  </si>
  <si>
    <t>HGRU11</t>
  </si>
  <si>
    <t>RECR11</t>
  </si>
  <si>
    <t>PVBI11</t>
  </si>
  <si>
    <t>TGAR11</t>
  </si>
  <si>
    <t>HGBS11</t>
  </si>
  <si>
    <t>MCCI11</t>
  </si>
  <si>
    <t>KNIP11</t>
  </si>
  <si>
    <t>SOL-USD</t>
  </si>
  <si>
    <t>9.44</t>
  </si>
  <si>
    <t>6.73</t>
  </si>
  <si>
    <t>7.35</t>
  </si>
  <si>
    <t>13.88</t>
  </si>
  <si>
    <t>15.02</t>
  </si>
  <si>
    <t>45.27</t>
  </si>
  <si>
    <t>41.75</t>
  </si>
  <si>
    <t>71.17</t>
  </si>
  <si>
    <t>111.35</t>
  </si>
  <si>
    <t>132.52</t>
  </si>
  <si>
    <t>116.57</t>
  </si>
  <si>
    <t>147.2</t>
  </si>
  <si>
    <t>127.09</t>
  </si>
  <si>
    <t>133.5</t>
  </si>
  <si>
    <t>138.76</t>
  </si>
  <si>
    <t>139.68</t>
  </si>
  <si>
    <t>114.04</t>
  </si>
  <si>
    <t>134.58</t>
  </si>
  <si>
    <t>13.36</t>
  </si>
  <si>
    <t>101.1</t>
  </si>
  <si>
    <t>10.45</t>
  </si>
  <si>
    <t>123.98</t>
  </si>
  <si>
    <t>107.96</t>
  </si>
  <si>
    <t>47.51</t>
  </si>
  <si>
    <t>144.33</t>
  </si>
  <si>
    <t>19.2</t>
  </si>
  <si>
    <t>19.48</t>
  </si>
  <si>
    <t>59.28</t>
  </si>
  <si>
    <t>86.21</t>
  </si>
  <si>
    <t>50.64</t>
  </si>
  <si>
    <t>111.95</t>
  </si>
  <si>
    <t>90.69</t>
  </si>
  <si>
    <t>37.48</t>
  </si>
  <si>
    <t>388.8</t>
  </si>
  <si>
    <t>143.8</t>
  </si>
  <si>
    <t>136.22</t>
  </si>
  <si>
    <t>50.6</t>
  </si>
  <si>
    <t>78.1</t>
  </si>
  <si>
    <t>17.62</t>
  </si>
  <si>
    <t>240.4</t>
  </si>
  <si>
    <t>38.7</t>
  </si>
  <si>
    <t>11.47</t>
  </si>
  <si>
    <t>65.21</t>
  </si>
  <si>
    <t>7.76</t>
  </si>
  <si>
    <t>54.8</t>
  </si>
  <si>
    <t>105.3</t>
  </si>
  <si>
    <t>25.33</t>
  </si>
  <si>
    <t>15.22</t>
  </si>
  <si>
    <t>378.45</t>
  </si>
  <si>
    <t>107.13</t>
  </si>
  <si>
    <t>43.64</t>
  </si>
  <si>
    <t>16.77</t>
  </si>
  <si>
    <t>128.49</t>
  </si>
  <si>
    <t>133.48</t>
  </si>
  <si>
    <t>12.33</t>
  </si>
  <si>
    <t>7.83</t>
  </si>
  <si>
    <t>36.01</t>
  </si>
  <si>
    <t>100.21</t>
  </si>
  <si>
    <t>8.92</t>
  </si>
  <si>
    <t>19.43</t>
  </si>
  <si>
    <t>156.33</t>
  </si>
  <si>
    <t>125</t>
  </si>
  <si>
    <t>67.28</t>
  </si>
  <si>
    <t>103.33</t>
  </si>
  <si>
    <t>88.22</t>
  </si>
  <si>
    <t>144.99</t>
  </si>
  <si>
    <t>87.15</t>
  </si>
  <si>
    <t>9.49</t>
  </si>
  <si>
    <t>77.23</t>
  </si>
  <si>
    <t>84.65</t>
  </si>
  <si>
    <t>89.4</t>
  </si>
  <si>
    <t>7.68</t>
  </si>
  <si>
    <t>104.52</t>
  </si>
  <si>
    <t>100.14</t>
  </si>
  <si>
    <t>104</t>
  </si>
  <si>
    <t>BNB-USD</t>
  </si>
  <si>
    <t>ADA-USD</t>
  </si>
  <si>
    <t>XRP-USD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</si>
</sst>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6" formatCode="&quot;R$&quot;\ #,##0;[Red]\-&quot;R$&quot;\ #,##0"/>
    <numFmt numFmtId="8" formatCode="&quot;R$&quot;\ #,##0.00;[Red]\-&quot;R$&quot;\ #,##0.00"/>
    <numFmt numFmtId="164" formatCode="&quot;R$&quot;\ #,##0.00"/>
    <numFmt numFmtId="165" formatCode="0.000"/>
    <numFmt numFmtId="166" formatCode="#,##0.0"/>
    <numFmt numFmtId="167" formatCode="&quot;R$&quot;\ #,##0.0"/>
    <numFmt numFmtId="168" formatCode="0.0000"/>
    <numFmt numFmtId="169" formatCode="#,##0_ ;\-#,##0\ "/>
    <numFmt numFmtId="170" formatCode="_-[$R$-416]\ * #,##0.00_-;\-[$R$-416]\ * #,##0.00_-;_-[$R$-416]\ * &quot;-&quot;??_-;_-@_-"/>
  </numFmts>
  <fonts count="21" x14ac:knownFonts="1">
    <font>
      <sz val="11"/>
      <color theme="1"/>
      <name val="Calibri"/>
      <family val="2"/>
      <scheme val="minor"/>
    </font>
    <font>
      <sz val="8"/>
      <name val="Calibri"/>
      <family val="2"/>
      <scheme val="minor"/>
    </font>
    <font>
      <b/>
      <sz val="8"/>
      <name val="Calibri"/>
      <family val="2"/>
      <scheme val="minor"/>
    </font>
    <font>
      <sz val="8"/>
      <color theme="1"/>
      <name val="Calibri"/>
      <family val="2"/>
      <scheme val="minor"/>
    </font>
    <font>
      <sz val="8"/>
      <color theme="7" tint="-0.249977111117893"/>
      <name val="Calibri"/>
      <family val="2"/>
      <scheme val="minor"/>
    </font>
    <font>
      <b/>
      <sz val="8"/>
      <color theme="1"/>
      <name val="Calibri"/>
      <family val="2"/>
      <scheme val="minor"/>
    </font>
    <font>
      <b/>
      <sz val="8"/>
      <color rgb="FF0070C0"/>
      <name val="Calibri"/>
      <family val="2"/>
      <scheme val="minor"/>
    </font>
    <font>
      <sz val="8"/>
      <color rgb="FFFF0000"/>
      <name val="Calibri"/>
      <family val="2"/>
      <scheme val="minor"/>
    </font>
    <font>
      <b/>
      <sz val="8"/>
      <color rgb="FFFF0000"/>
      <name val="Calibri"/>
      <family val="2"/>
      <scheme val="minor"/>
    </font>
    <font>
      <b/>
      <sz val="8"/>
      <color theme="0"/>
      <name val="Calibri"/>
      <family val="2"/>
      <scheme val="minor"/>
    </font>
    <font>
      <sz val="8"/>
      <color rgb="FF00B050"/>
      <name val="Calibri"/>
      <family val="2"/>
      <scheme val="minor"/>
    </font>
    <font>
      <b/>
      <sz val="11"/>
      <color theme="1"/>
      <name val="Calibri"/>
      <family val="2"/>
      <scheme val="minor"/>
    </font>
    <font>
      <sz val="11"/>
      <name val="Calibri"/>
      <family val="2"/>
      <scheme val="minor"/>
    </font>
    <font>
      <b/>
      <sz val="8"/>
      <color rgb="FF00B050"/>
      <name val="Calibri"/>
      <family val="2"/>
      <scheme val="minor"/>
    </font>
    <font>
      <sz val="8"/>
      <color theme="0"/>
      <name val="Calibri"/>
      <family val="2"/>
      <scheme val="minor"/>
    </font>
    <font>
      <b/>
      <sz val="8"/>
      <color theme="9" tint="-0.249977111117893"/>
      <name val="Calibri"/>
      <family val="2"/>
      <scheme val="minor"/>
    </font>
    <font>
      <sz val="11"/>
      <color rgb="FF00B050"/>
      <name val="Calibri"/>
      <family val="2"/>
      <scheme val="minor"/>
    </font>
    <font>
      <sz val="8"/>
      <color theme="9" tint="-0.249977111117893"/>
      <name val="Calibri"/>
      <family val="2"/>
      <scheme val="minor"/>
    </font>
    <font>
      <sz val="8"/>
      <color rgb="FF0070C0"/>
      <name val="Calibri"/>
      <family val="2"/>
      <scheme val="minor"/>
    </font>
    <font>
      <sz val="11"/>
      <color rgb="FF0D1421"/>
      <name val="Segoe UI"/>
      <family val="2"/>
    </font>
    <font>
      <sz val="11"/>
      <name val="Calibri"/>
      <family val="2"/>
    </font>
  </fonts>
  <fills count="6">
    <fill>
      <patternFill patternType="none"/>
    </fill>
    <fill>
      <patternFill patternType="gray125"/>
    </fill>
    <fill>
      <patternFill patternType="solid">
        <fgColor rgb="FFFF0000"/>
        <bgColor indexed="64"/>
      </patternFill>
    </fill>
    <fill>
      <patternFill patternType="solid">
        <fgColor theme="0" tint="-0.14999847407452621"/>
        <bgColor indexed="64"/>
      </patternFill>
    </fill>
    <fill>
      <patternFill patternType="solid">
        <fgColor theme="0"/>
        <bgColor indexed="64"/>
      </patternFill>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20" fillId="0" borderId="0"/>
  </cellStyleXfs>
  <cellXfs count="94">
    <xf numFmtId="0" fontId="0" fillId="0" borderId="0" xfId="0"/>
    <xf numFmtId="0" fontId="1" fillId="0" borderId="0" xfId="0" applyFont="1" applyAlignment="1">
      <alignment horizontal="center"/>
    </xf>
    <xf numFmtId="164" fontId="1" fillId="0" borderId="0" xfId="0" applyNumberFormat="1" applyFont="1" applyAlignment="1">
      <alignment horizontal="center"/>
    </xf>
    <xf numFmtId="164" fontId="2" fillId="0" borderId="0" xfId="0" applyNumberFormat="1" applyFont="1" applyAlignment="1">
      <alignment horizontal="center"/>
    </xf>
    <xf numFmtId="164" fontId="3" fillId="0" borderId="0" xfId="0" applyNumberFormat="1" applyFont="1" applyAlignment="1">
      <alignment horizontal="center"/>
    </xf>
    <xf numFmtId="164" fontId="4" fillId="0" borderId="0" xfId="0" applyNumberFormat="1" applyFont="1" applyAlignment="1">
      <alignment horizontal="center"/>
    </xf>
    <xf numFmtId="0" fontId="3" fillId="0" borderId="0" xfId="0" applyFont="1" applyAlignment="1">
      <alignment horizontal="center"/>
    </xf>
    <xf numFmtId="0" fontId="2" fillId="0" borderId="0" xfId="0" applyFont="1" applyAlignment="1">
      <alignment horizontal="center"/>
    </xf>
    <xf numFmtId="10" fontId="2" fillId="0" borderId="0" xfId="0" applyNumberFormat="1" applyFont="1" applyAlignment="1">
      <alignment horizontal="center"/>
    </xf>
    <xf numFmtId="164" fontId="6" fillId="0" borderId="0" xfId="0" applyNumberFormat="1" applyFont="1" applyAlignment="1">
      <alignment horizontal="center"/>
    </xf>
    <xf numFmtId="3" fontId="1" fillId="0" borderId="0" xfId="0" applyNumberFormat="1" applyFont="1" applyAlignment="1">
      <alignment horizontal="center"/>
    </xf>
    <xf numFmtId="14" fontId="5" fillId="0" borderId="0" xfId="0" applyNumberFormat="1" applyFont="1" applyAlignment="1">
      <alignment horizontal="center"/>
    </xf>
    <xf numFmtId="164" fontId="9" fillId="2" borderId="1" xfId="0" applyNumberFormat="1" applyFont="1" applyFill="1" applyBorder="1" applyAlignment="1">
      <alignment horizontal="center"/>
    </xf>
    <xf numFmtId="0" fontId="0" fillId="0" borderId="0" xfId="0" applyAlignment="1">
      <alignment horizontal="center"/>
    </xf>
    <xf numFmtId="164" fontId="5" fillId="0" borderId="0" xfId="0" applyNumberFormat="1" applyFont="1" applyAlignment="1">
      <alignment horizontal="center"/>
    </xf>
    <xf numFmtId="164" fontId="6" fillId="0" borderId="1" xfId="0" applyNumberFormat="1" applyFont="1" applyBorder="1" applyAlignment="1">
      <alignment horizontal="center"/>
    </xf>
    <xf numFmtId="10" fontId="1" fillId="0" borderId="0" xfId="0" applyNumberFormat="1" applyFont="1" applyAlignment="1">
      <alignment horizontal="center"/>
    </xf>
    <xf numFmtId="164" fontId="1" fillId="0" borderId="1" xfId="0" applyNumberFormat="1" applyFont="1" applyBorder="1" applyAlignment="1">
      <alignment horizontal="center"/>
    </xf>
    <xf numFmtId="165" fontId="1" fillId="0" borderId="0" xfId="0" applyNumberFormat="1" applyFont="1" applyAlignment="1">
      <alignment horizontal="center"/>
    </xf>
    <xf numFmtId="2" fontId="1" fillId="0" borderId="0" xfId="0" applyNumberFormat="1" applyFont="1" applyAlignment="1">
      <alignment horizontal="center"/>
    </xf>
    <xf numFmtId="10" fontId="7" fillId="0" borderId="1" xfId="0" applyNumberFormat="1" applyFont="1" applyBorder="1" applyAlignment="1">
      <alignment horizontal="center"/>
    </xf>
    <xf numFmtId="10" fontId="10" fillId="0" borderId="1" xfId="0" applyNumberFormat="1" applyFont="1" applyBorder="1" applyAlignment="1">
      <alignment horizontal="center"/>
    </xf>
    <xf numFmtId="0" fontId="12" fillId="0" borderId="0" xfId="0" applyFont="1"/>
    <xf numFmtId="10" fontId="2" fillId="3" borderId="1" xfId="0" applyNumberFormat="1" applyFont="1" applyFill="1" applyBorder="1" applyAlignment="1">
      <alignment horizontal="center"/>
    </xf>
    <xf numFmtId="166" fontId="2" fillId="0" borderId="0" xfId="0" applyNumberFormat="1" applyFont="1" applyAlignment="1">
      <alignment horizontal="center"/>
    </xf>
    <xf numFmtId="10" fontId="0" fillId="0" borderId="0" xfId="0" applyNumberFormat="1"/>
    <xf numFmtId="4" fontId="0" fillId="0" borderId="0" xfId="0" applyNumberFormat="1"/>
    <xf numFmtId="0" fontId="11" fillId="0" borderId="0" xfId="0" applyFont="1"/>
    <xf numFmtId="10" fontId="2" fillId="0" borderId="1" xfId="0" applyNumberFormat="1" applyFont="1" applyBorder="1" applyAlignment="1">
      <alignment horizontal="center"/>
    </xf>
    <xf numFmtId="4" fontId="1" fillId="3" borderId="1" xfId="0" applyNumberFormat="1" applyFont="1" applyFill="1" applyBorder="1" applyAlignment="1">
      <alignment horizontal="center"/>
    </xf>
    <xf numFmtId="164" fontId="1" fillId="0" borderId="2" xfId="0" applyNumberFormat="1" applyFont="1" applyBorder="1" applyAlignment="1">
      <alignment horizontal="center"/>
    </xf>
    <xf numFmtId="4" fontId="1" fillId="3" borderId="2" xfId="0" applyNumberFormat="1" applyFont="1" applyFill="1" applyBorder="1" applyAlignment="1">
      <alignment horizontal="center"/>
    </xf>
    <xf numFmtId="10" fontId="15" fillId="4" borderId="1" xfId="0" applyNumberFormat="1" applyFont="1" applyFill="1" applyBorder="1" applyAlignment="1">
      <alignment horizontal="center"/>
    </xf>
    <xf numFmtId="164" fontId="17" fillId="4" borderId="1" xfId="0" applyNumberFormat="1" applyFont="1" applyFill="1" applyBorder="1" applyAlignment="1">
      <alignment horizontal="center"/>
    </xf>
    <xf numFmtId="10" fontId="17" fillId="4" borderId="1" xfId="0" applyNumberFormat="1" applyFont="1" applyFill="1" applyBorder="1" applyAlignment="1">
      <alignment horizontal="center"/>
    </xf>
    <xf numFmtId="164" fontId="2" fillId="4" borderId="1" xfId="0" applyNumberFormat="1" applyFont="1" applyFill="1" applyBorder="1" applyAlignment="1">
      <alignment horizontal="center"/>
    </xf>
    <xf numFmtId="3" fontId="1" fillId="4" borderId="1" xfId="0" applyNumberFormat="1" applyFont="1" applyFill="1" applyBorder="1" applyAlignment="1">
      <alignment horizontal="center"/>
    </xf>
    <xf numFmtId="164" fontId="6" fillId="4" borderId="0" xfId="0" applyNumberFormat="1" applyFont="1" applyFill="1" applyAlignment="1">
      <alignment horizontal="center"/>
    </xf>
    <xf numFmtId="164" fontId="2" fillId="0" borderId="1" xfId="0" applyNumberFormat="1" applyFont="1" applyBorder="1" applyAlignment="1">
      <alignment horizontal="center"/>
    </xf>
    <xf numFmtId="10" fontId="15" fillId="4" borderId="3" xfId="0" applyNumberFormat="1" applyFont="1" applyFill="1" applyBorder="1" applyAlignment="1">
      <alignment horizontal="center"/>
    </xf>
    <xf numFmtId="10" fontId="2" fillId="0" borderId="3" xfId="0" applyNumberFormat="1" applyFont="1" applyBorder="1" applyAlignment="1">
      <alignment horizontal="center"/>
    </xf>
    <xf numFmtId="164" fontId="1" fillId="0" borderId="3" xfId="0" applyNumberFormat="1" applyFont="1" applyBorder="1" applyAlignment="1">
      <alignment horizontal="center"/>
    </xf>
    <xf numFmtId="164" fontId="17" fillId="4" borderId="3" xfId="0" applyNumberFormat="1" applyFont="1" applyFill="1" applyBorder="1" applyAlignment="1">
      <alignment horizontal="center"/>
    </xf>
    <xf numFmtId="10" fontId="17" fillId="4" borderId="3" xfId="0" applyNumberFormat="1" applyFont="1" applyFill="1" applyBorder="1" applyAlignment="1">
      <alignment horizontal="center"/>
    </xf>
    <xf numFmtId="4" fontId="1" fillId="3" borderId="3" xfId="0" applyNumberFormat="1" applyFont="1" applyFill="1" applyBorder="1" applyAlignment="1">
      <alignment horizontal="center"/>
    </xf>
    <xf numFmtId="10" fontId="15" fillId="4" borderId="2" xfId="0" applyNumberFormat="1" applyFont="1" applyFill="1" applyBorder="1" applyAlignment="1">
      <alignment horizontal="center"/>
    </xf>
    <xf numFmtId="10" fontId="2" fillId="0" borderId="2" xfId="0" applyNumberFormat="1" applyFont="1" applyBorder="1" applyAlignment="1">
      <alignment horizontal="center"/>
    </xf>
    <xf numFmtId="164" fontId="14" fillId="2" borderId="2" xfId="0" applyNumberFormat="1" applyFont="1" applyFill="1" applyBorder="1" applyAlignment="1">
      <alignment horizontal="center"/>
    </xf>
    <xf numFmtId="10" fontId="17" fillId="4" borderId="2" xfId="0" applyNumberFormat="1" applyFont="1" applyFill="1" applyBorder="1" applyAlignment="1">
      <alignment horizontal="center"/>
    </xf>
    <xf numFmtId="164" fontId="17" fillId="4" borderId="2" xfId="0" applyNumberFormat="1" applyFont="1" applyFill="1" applyBorder="1" applyAlignment="1">
      <alignment horizontal="center"/>
    </xf>
    <xf numFmtId="14" fontId="5" fillId="0" borderId="1" xfId="0" applyNumberFormat="1" applyFont="1" applyBorder="1" applyAlignment="1">
      <alignment horizontal="center"/>
    </xf>
    <xf numFmtId="2" fontId="2" fillId="0" borderId="1" xfId="0" applyNumberFormat="1" applyFont="1" applyBorder="1" applyAlignment="1">
      <alignment horizontal="center"/>
    </xf>
    <xf numFmtId="164" fontId="6" fillId="4" borderId="1" xfId="0" applyNumberFormat="1" applyFont="1" applyFill="1" applyBorder="1" applyAlignment="1">
      <alignment horizontal="center"/>
    </xf>
    <xf numFmtId="164" fontId="18" fillId="0" borderId="1" xfId="0" applyNumberFormat="1" applyFont="1" applyBorder="1" applyAlignment="1">
      <alignment horizontal="center"/>
    </xf>
    <xf numFmtId="164" fontId="18" fillId="4" borderId="1" xfId="0" applyNumberFormat="1" applyFont="1" applyFill="1" applyBorder="1" applyAlignment="1">
      <alignment horizontal="center"/>
    </xf>
    <xf numFmtId="10" fontId="18" fillId="0" borderId="1" xfId="0" applyNumberFormat="1" applyFont="1" applyBorder="1" applyAlignment="1">
      <alignment horizontal="center"/>
    </xf>
    <xf numFmtId="164" fontId="2" fillId="4" borderId="0" xfId="0" applyNumberFormat="1" applyFont="1" applyFill="1" applyAlignment="1">
      <alignment horizontal="center"/>
    </xf>
    <xf numFmtId="8" fontId="0" fillId="0" borderId="0" xfId="0" applyNumberFormat="1"/>
    <xf numFmtId="6" fontId="0" fillId="0" borderId="0" xfId="0" applyNumberFormat="1"/>
    <xf numFmtId="0" fontId="16" fillId="0" borderId="0" xfId="0" applyFont="1"/>
    <xf numFmtId="164" fontId="13" fillId="0" borderId="1" xfId="0" applyNumberFormat="1" applyFont="1" applyBorder="1" applyAlignment="1">
      <alignment horizontal="center"/>
    </xf>
    <xf numFmtId="164" fontId="5" fillId="0" borderId="1" xfId="0" applyNumberFormat="1" applyFont="1" applyBorder="1" applyAlignment="1">
      <alignment horizontal="center"/>
    </xf>
    <xf numFmtId="10" fontId="8" fillId="0" borderId="1" xfId="0" applyNumberFormat="1" applyFont="1" applyBorder="1" applyAlignment="1">
      <alignment horizontal="center"/>
    </xf>
    <xf numFmtId="167" fontId="2" fillId="0" borderId="1" xfId="0" applyNumberFormat="1" applyFont="1" applyBorder="1" applyAlignment="1">
      <alignment horizontal="center"/>
    </xf>
    <xf numFmtId="164" fontId="2" fillId="0" borderId="3" xfId="0" applyNumberFormat="1" applyFont="1" applyBorder="1"/>
    <xf numFmtId="168" fontId="1" fillId="0" borderId="0" xfId="0" applyNumberFormat="1" applyFont="1" applyAlignment="1">
      <alignment horizontal="center"/>
    </xf>
    <xf numFmtId="164" fontId="6" fillId="3" borderId="1" xfId="0" applyNumberFormat="1" applyFont="1" applyFill="1" applyBorder="1" applyAlignment="1">
      <alignment horizontal="center"/>
    </xf>
    <xf numFmtId="164" fontId="6" fillId="4" borderId="4" xfId="0" applyNumberFormat="1" applyFont="1" applyFill="1" applyBorder="1" applyAlignment="1">
      <alignment horizontal="center"/>
    </xf>
    <xf numFmtId="14" fontId="5" fillId="0" borderId="4" xfId="0" applyNumberFormat="1" applyFont="1" applyBorder="1" applyAlignment="1">
      <alignment horizontal="center"/>
    </xf>
    <xf numFmtId="164" fontId="2" fillId="3" borderId="1" xfId="0" applyNumberFormat="1" applyFont="1" applyFill="1" applyBorder="1" applyAlignment="1">
      <alignment horizontal="center"/>
    </xf>
    <xf numFmtId="164" fontId="5" fillId="3" borderId="1" xfId="0" applyNumberFormat="1" applyFont="1" applyFill="1" applyBorder="1" applyAlignment="1">
      <alignment horizontal="center"/>
    </xf>
    <xf numFmtId="10" fontId="8" fillId="4" borderId="1" xfId="0" applyNumberFormat="1" applyFont="1" applyFill="1" applyBorder="1" applyAlignment="1">
      <alignment horizontal="center"/>
    </xf>
    <xf numFmtId="2" fontId="5" fillId="4" borderId="1" xfId="0" applyNumberFormat="1" applyFont="1" applyFill="1" applyBorder="1" applyAlignment="1">
      <alignment horizontal="center"/>
    </xf>
    <xf numFmtId="2" fontId="3" fillId="0" borderId="0" xfId="0" applyNumberFormat="1" applyFont="1" applyAlignment="1">
      <alignment horizontal="center"/>
    </xf>
    <xf numFmtId="2" fontId="5" fillId="0" borderId="1" xfId="0" applyNumberFormat="1" applyFont="1" applyBorder="1" applyAlignment="1">
      <alignment horizontal="center"/>
    </xf>
    <xf numFmtId="2" fontId="2" fillId="4" borderId="1" xfId="0" applyNumberFormat="1" applyFont="1" applyFill="1" applyBorder="1" applyAlignment="1">
      <alignment horizontal="center"/>
    </xf>
    <xf numFmtId="169" fontId="2" fillId="0" borderId="0" xfId="0" applyNumberFormat="1" applyFont="1" applyAlignment="1">
      <alignment horizontal="center"/>
    </xf>
    <xf numFmtId="4" fontId="1" fillId="0" borderId="0" xfId="0" applyNumberFormat="1" applyFont="1" applyAlignment="1">
      <alignment horizontal="center"/>
    </xf>
    <xf numFmtId="0" fontId="2" fillId="0" borderId="0" xfId="0" quotePrefix="1" applyFont="1" applyAlignment="1">
      <alignment horizontal="center"/>
    </xf>
    <xf numFmtId="14" fontId="0" fillId="0" borderId="0" xfId="0" applyNumberFormat="1"/>
    <xf numFmtId="4" fontId="1" fillId="4" borderId="0" xfId="0" applyNumberFormat="1" applyFont="1" applyFill="1" applyAlignment="1">
      <alignment horizontal="center"/>
    </xf>
    <xf numFmtId="0" fontId="18" fillId="0" borderId="0" xfId="0" applyFont="1" applyAlignment="1">
      <alignment horizontal="center"/>
    </xf>
    <xf numFmtId="0" fontId="6" fillId="0" borderId="0" xfId="0" applyFont="1" applyAlignment="1">
      <alignment horizontal="center"/>
    </xf>
    <xf numFmtId="168" fontId="18" fillId="0" borderId="0" xfId="0" applyNumberFormat="1" applyFont="1" applyAlignment="1">
      <alignment horizontal="center"/>
    </xf>
    <xf numFmtId="10" fontId="6" fillId="0" borderId="0" xfId="0" applyNumberFormat="1" applyFont="1" applyAlignment="1">
      <alignment horizontal="center"/>
    </xf>
    <xf numFmtId="14" fontId="2" fillId="0" borderId="1" xfId="0" applyNumberFormat="1" applyFont="1" applyBorder="1" applyAlignment="1">
      <alignment horizontal="center"/>
    </xf>
    <xf numFmtId="10" fontId="3" fillId="0" borderId="0" xfId="0" applyNumberFormat="1" applyFont="1" applyAlignment="1">
      <alignment horizontal="center"/>
    </xf>
    <xf numFmtId="170" fontId="1" fillId="0" borderId="0" xfId="0" applyNumberFormat="1" applyFont="1" applyAlignment="1">
      <alignment horizontal="center"/>
    </xf>
    <xf numFmtId="10" fontId="8" fillId="4" borderId="0" xfId="0" applyNumberFormat="1" applyFont="1" applyFill="1" applyAlignment="1">
      <alignment horizontal="center"/>
    </xf>
    <xf numFmtId="10" fontId="9" fillId="5" borderId="2" xfId="0" applyNumberFormat="1" applyFont="1" applyFill="1" applyBorder="1" applyAlignment="1">
      <alignment horizontal="center"/>
    </xf>
    <xf numFmtId="2" fontId="19" fillId="0" borderId="0" xfId="0" applyNumberFormat="1" applyFont="1"/>
    <xf numFmtId="2" fontId="0" fillId="0" borderId="0" xfId="0" applyNumberFormat="1" applyAlignment="1">
      <alignment horizontal="left"/>
    </xf>
    <xf numFmtId="2" fontId="0" fillId="0" borderId="0" xfId="0" applyNumberFormat="1"/>
    <xf numFmtId="0" fontId="12" fillId="0" borderId="0" xfId="0" applyFont="1" applyAlignment="1">
      <alignment horizontal="left"/>
    </xf>
  </cellXfs>
  <cellStyles count="2">
    <cellStyle name="Normal" xfId="0" builtinId="0"/>
    <cellStyle name="Normal 2" xfId="1" xr:uid="{A3A48D21-4439-46E1-ACE3-DA7868170AB4}"/>
  </cellStyles>
  <dxfs count="54">
    <dxf>
      <font>
        <color theme="0"/>
      </font>
      <fill>
        <patternFill>
          <bgColor theme="5" tint="0.39994506668294322"/>
        </patternFill>
      </fill>
    </dxf>
    <dxf>
      <font>
        <color theme="0"/>
      </font>
      <fill>
        <patternFill>
          <bgColor rgb="FFFF0000"/>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FF0000"/>
        </patternFill>
      </fill>
    </dxf>
    <dxf>
      <font>
        <color theme="0"/>
      </font>
      <fill>
        <patternFill>
          <bgColor rgb="FF00B050"/>
        </patternFill>
      </fill>
    </dxf>
    <dxf>
      <fill>
        <patternFill>
          <bgColor theme="9" tint="0.59996337778862885"/>
        </patternFill>
      </fill>
    </dxf>
    <dxf>
      <font>
        <color theme="9" tint="-0.24994659260841701"/>
      </font>
      <fill>
        <patternFill>
          <bgColor theme="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theme="9" tint="-0.24994659260841701"/>
        </patternFill>
      </fill>
    </dxf>
    <dxf>
      <font>
        <color theme="0"/>
      </font>
      <fill>
        <patternFill>
          <bgColor rgb="FFFF000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rgb="FF0070C0"/>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0"/>
      </font>
      <fill>
        <patternFill>
          <bgColor theme="9" tint="-0.24994659260841701"/>
        </patternFill>
      </fill>
    </dxf>
    <dxf>
      <font>
        <color theme="9" tint="-0.24994659260841701"/>
      </font>
      <fill>
        <patternFill>
          <bgColor theme="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0"/>
      </font>
      <fill>
        <patternFill>
          <bgColor rgb="FF00B050"/>
        </patternFill>
      </fill>
    </dxf>
    <dxf>
      <font>
        <color theme="9" tint="-0.24994659260841701"/>
      </font>
      <fill>
        <patternFill>
          <bgColor theme="0"/>
        </patternFill>
      </fill>
    </dxf>
    <dxf>
      <font>
        <color theme="0"/>
      </font>
      <fill>
        <patternFill>
          <bgColor rgb="FF00B050"/>
        </patternFill>
      </fill>
    </dxf>
    <dxf>
      <font>
        <color theme="9" tint="-0.24994659260841701"/>
      </font>
      <fill>
        <patternFill>
          <bgColor theme="0"/>
        </patternFill>
      </fill>
    </dxf>
    <dxf>
      <font>
        <color theme="0"/>
      </font>
      <fill>
        <patternFill>
          <bgColor theme="9" tint="0.39994506668294322"/>
        </patternFill>
      </fill>
    </dxf>
    <dxf>
      <font>
        <color theme="9" tint="-0.24994659260841701"/>
      </font>
      <fill>
        <patternFill>
          <bgColor theme="0"/>
        </patternFill>
      </fill>
    </dxf>
    <dxf>
      <font>
        <color theme="0"/>
      </font>
      <fill>
        <patternFill>
          <bgColor rgb="FF00B050"/>
        </patternFill>
      </fill>
    </dxf>
    <dxf>
      <font>
        <color theme="0"/>
      </font>
      <fill>
        <patternFill>
          <bgColor theme="5" tint="0.39994506668294322"/>
        </patternFill>
      </fill>
    </dxf>
    <dxf>
      <font>
        <color rgb="FF0070C0"/>
      </font>
      <fill>
        <patternFill>
          <bgColor theme="0"/>
        </patternFill>
      </fill>
    </dxf>
    <dxf>
      <font>
        <color theme="0"/>
      </font>
      <fill>
        <patternFill>
          <bgColor rgb="FF00B050"/>
        </patternFill>
      </fill>
    </dxf>
    <dxf>
      <font>
        <b/>
        <i val="0"/>
        <color rgb="FF0070C0"/>
      </font>
      <fill>
        <patternFill patternType="none">
          <bgColor auto="1"/>
        </patternFill>
      </fill>
    </dxf>
    <dxf>
      <font>
        <b/>
        <i val="0"/>
        <color theme="0"/>
      </font>
      <fill>
        <patternFill>
          <bgColor rgb="FF0070C0"/>
        </patternFill>
      </fill>
    </dxf>
    <dxf>
      <font>
        <b/>
        <i val="0"/>
        <color theme="0"/>
      </font>
      <fill>
        <patternFill>
          <bgColor rgb="FF0070C0"/>
        </patternFill>
      </fill>
    </dxf>
    <dxf>
      <font>
        <b/>
        <i val="0"/>
        <color rgb="FF00B050"/>
      </font>
    </dxf>
    <dxf>
      <font>
        <b/>
        <i val="0"/>
        <color theme="9" tint="0.59996337778862885"/>
      </font>
    </dxf>
    <dxf>
      <font>
        <b/>
        <i val="0"/>
        <color rgb="FF00B050"/>
      </font>
    </dxf>
    <dxf>
      <font>
        <b/>
        <i val="0"/>
        <color theme="9" tint="0.59996337778862885"/>
      </font>
    </dxf>
    <dxf>
      <font>
        <color rgb="FF00B050"/>
      </font>
    </dxf>
    <dxf>
      <font>
        <color rgb="FF00B050"/>
      </font>
    </dxf>
    <dxf>
      <font>
        <color rgb="FF00B050"/>
      </font>
    </dxf>
    <dxf>
      <font>
        <b/>
        <i val="0"/>
        <color theme="0"/>
      </font>
      <fill>
        <patternFill>
          <bgColor rgb="FF00B050"/>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
      <font>
        <b/>
        <i val="0"/>
        <color auto="1"/>
      </font>
      <fill>
        <patternFill patternType="none">
          <bgColor auto="1"/>
        </patternFill>
      </fill>
    </dxf>
    <dxf>
      <font>
        <b/>
        <i val="0"/>
        <color theme="0"/>
      </font>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23">
  <rv s="0">
    <v>https://www.bing.com/financeapi/forcetrigger?t=bx3d27&amp;q=BVMF%3aGOLD11&amp;form=skydnc</v>
    <v>Learn more on Bing</v>
  </rv>
  <rv s="1">
    <v>pt-BR</v>
    <v>bx3d27</v>
    <v>268435456</v>
    <v>1</v>
    <v>Da plataforma Refinitiv</v>
    <v>0</v>
    <v>1</v>
    <v>Trend ETF LBMA Ouro FIInd IE (BVMF:GOLD11)</v>
    <v>3</v>
    <v>4</v>
    <v>Finance</v>
    <v>5</v>
    <v>20.82</v>
    <v>13.47</v>
    <v>BVMF</v>
    <v>19.63</v>
    <v>19.399999999999999</v>
    <v>0.98519999999999996</v>
    <v>B3 - Brazil Stock Exchange</v>
    <v>1739950981.78</v>
    <v>19.239999999999998</v>
    <v>45850</v>
    <v>0</v>
    <v>BRL</v>
    <v>Trend ETF LBMA Ouro FIInd IE</v>
    <v>19.440000000000001</v>
    <v>19.489999999999998</v>
    <v>GOLD11</v>
    <v>Fundos mais negociados</v>
    <v>Trend ETF LBMA Ouro FIInd IE (BVMF:GOLD11)</v>
    <v>0.25</v>
    <v>1.2994E-2</v>
    <v>1139309</v>
  </rv>
  <rv s="2">
    <v>1</v>
  </rv>
  <rv s="0">
    <v>https://www.bing.com/financeapi/forcetrigger?t=apnmnm&amp;q=SAO+PAULO+SE+BOVESPA+INDEX&amp;form=skydnc</v>
    <v>Learn more on Bing</v>
  </rv>
  <rv s="3">
    <v>pt-BR</v>
    <v>apnmnm</v>
    <v>268435456</v>
    <v>1</v>
    <v>Da plataforma Refinitiv</v>
    <v>6</v>
    <v>7</v>
    <v>SAO PAULO SE BOVESPA INDEX</v>
    <v>3</v>
    <v>8</v>
    <v>Finance</v>
    <v>9</v>
    <v>141563.85</v>
    <v>118222.64</v>
    <v>136741.87</v>
    <v>135528.07</v>
    <v>136743.26</v>
    <v>3</v>
    <v>SAO PAULO SE BOVESPA INDEX</v>
    <v>BR</v>
    <v>136741.68</v>
    <v>136187.31</v>
    <v>IBOV</v>
    <v>Índice</v>
    <v>SAO PAULO SE BOVESPA INDEX</v>
    <v>-555.95000000000005</v>
    <v>-4.0660000000000002E-3</v>
  </rv>
  <rv s="2">
    <v>4</v>
  </rv>
  <rv s="4">
    <v>12</v>
    <v>Média de volume</v>
    <v>0</v>
  </rv>
  <rv s="5">
    <v>13</v>
    <v>3</v>
  </rv>
  <rv s="6">
    <v>13</v>
    <v>1</v>
  </rv>
  <rv s="0">
    <v>https://www.bing.com/financeapi/forcetrigger?t=apm8oc&amp;q=BVMF%3aEQPA7&amp;form=skydnc</v>
    <v>Learn more on Bing</v>
  </rv>
  <rv s="7">
    <v>pt-BR</v>
    <v>apm8oc</v>
    <v>268435456</v>
    <v>1</v>
    <v>Da plataforma Refinitiv</v>
    <v>10</v>
    <v>11</v>
    <v>EQUATORIAL PARÁ DISTRIBUIDORA DE ENERGIA S.A (BVMF:EQPA7)</v>
    <v>12</v>
    <v>13</v>
    <v>Finance</v>
    <v>5</v>
    <v>8.0500000000000007</v>
    <v>7.58</v>
    <v>BVMF</v>
    <v>4453440</v>
    <v>8.0500000000000007</v>
    <v>1960</v>
    <v>8.0500000000000007</v>
    <v>0.65490000000000004</v>
    <v>B3 - Brazil Stock Exchange</v>
    <v>31802600</v>
    <v>A Equatorial Para Distribuidora de Energia SA, anteriormente Centrais Elétricas do Pará SA CELPA, é uma empresa sediada no Brasil envolvida no setor de energia. A Companhia atua principalmente na distribuição e geração de energia elétrica para consumo residencial, comercial, industrial e rural. A área de concessão da Companhia abrange todo o estado brasileiro do Pará, incluindo aproximadamente 7,7 milhões de pessoas em 143 municípios. Em 31 de dezembro de 2011, a CELPA operava 11 centrais térmicas com capacidade instalada de 22,47 megawatts e atendia aproximadamente 1,84 milhão de consumidores. A Companhia faz parte do Grupo Rede Energia. Em 31 de dezembro de 2011, a Companhia estava em processo de insolvência. Em 1º de novembro de 2012, a Equatorial Energia SA encerrou a aquisição de 61,37% do capital social da Companhia.</v>
    <v>BVMF</v>
    <v>7.59</v>
    <v>1753</v>
    <v>45820.648055555554</v>
    <v>9</v>
    <v>BRL</v>
    <v>EQUATORIAL PARÁ DISTRIBUIDORA DE ENERGIA S.A</v>
    <v>EQUATORIAL PARÁ DISTRIBUIDORA DE ENERGIA S.A</v>
    <v>8.0500000000000007</v>
    <v>8.0500000000000007</v>
    <v>Rod Augusto Montenegro Km 8,5, Coqueiro, BELEM, PARA, 66.823-010 BR</v>
    <v>Electrical Utilities &amp; IPPs</v>
    <v>EQPA7</v>
    <v>Ações</v>
    <v>EQUATORIAL PARÁ DISTRIBUIDORA DE ENERGIA S.A (BVMF:EQPA7)</v>
    <v>0.46</v>
    <v>6.0606E-2</v>
    <v>500</v>
  </rv>
  <rv s="2">
    <v>10</v>
  </rv>
  <rv s="0">
    <v>https://www.bing.com/financeapi/forcetrigger?t=apm9hw&amp;q=BVMF%3aCGRA4&amp;form=skydnc</v>
    <v>Learn more on Bing</v>
  </rv>
  <rv s="8">
    <v>pt-BR</v>
    <v>apm9hw</v>
    <v>268435456</v>
    <v>1</v>
    <v>Da plataforma Refinitiv</v>
    <v>14</v>
    <v>15</v>
    <v>GRAZZIOTIN S.A. (BVMF:CGRA4)</v>
    <v>12</v>
    <v>16</v>
    <v>Finance</v>
    <v>5</v>
    <v>29.6</v>
    <v>21.02</v>
    <v>BVMF</v>
    <v>20585620</v>
    <v>28.72</v>
    <v>1950</v>
    <v>28.22</v>
    <v>0.56079999999999997</v>
    <v>B3 - Brazil Stock Exchange</v>
    <v>573606600</v>
    <v>A Grazziotin S.A. é uma empresa brasileira que atua essencialmente no comércio varejista. A Empresa vende roupas, sapatos, acessórios e mobiliário doméstico, entre outros. Atua nos estados brasileiros do Rio Grande do Sul, Paraná e Santa Catarina. Em 31 de dezembro de 2011, a Grazziotin S.A. operava 283 lojas divididas em quatro redes de lojas. As lojas de departamento Grazziotin vendem roupas, calçados e perfumes. As lojas Tottal são especializadas em produtos para atividades de lazer e mobiliário doméstico. A cadeia Pormenos é formada por lojas de varejo de roupas com o sistema de autoatendimento. A cadeia Franco Giorgi tem sua própria marca e é especializada em roupas masculinas. Em 31 de dezembro de 2011, a Empresa possuía três subsidiárias diretas: Centro Shopping Empreendimentos e Participações Ltda., que atua na administração do Shopping Center de Porto Alegre; Grato Agropecuária Ltda., que se dedica à pecuária e plantio de soja e milho; e Trevi Participações Ltda. que atua no setor financeiro.</v>
    <v>BVMF</v>
    <v>27.76</v>
    <v>2795</v>
    <v>45850</v>
    <v>12</v>
    <v>2610</v>
    <v>BRL</v>
    <v>GRAZZIOTIN S.A.</v>
    <v>GRAZZIOTIN S.A.</v>
    <v>28.25</v>
    <v>28.7</v>
    <v>Rua Valentin Grazziotin, 077, Sao Cristovao, PASSO FUNDO, RIO GRANDE DO SUL, 99.060-030 BR</v>
    <v>Diversified Retail</v>
    <v>CGRA4</v>
    <v>Ações</v>
    <v>GRAZZIOTIN S.A. (BVMF:CGRA4)</v>
    <v>0.94</v>
    <v>3.3862000000000003E-2</v>
    <v>4100</v>
  </rv>
  <rv s="2">
    <v>13</v>
  </rv>
  <rv s="0">
    <v>https://www.bing.com/financeapi/forcetrigger?t=apnhoc&amp;q=BVMF%3aTRPL4&amp;form=skydnc</v>
    <v>Learn more on Bing</v>
  </rv>
  <rv s="8">
    <v>pt-BR</v>
    <v>apnhoc</v>
    <v>268435456</v>
    <v>1</v>
    <v>Da plataforma Refinitiv</v>
    <v>14</v>
    <v>15</v>
    <v>ISA ENERGIA BRASIL S.A. (BVMF:ISAE4)</v>
    <v>12</v>
    <v>17</v>
    <v>Finance</v>
    <v>5</v>
    <v>25.04</v>
    <v>20.38</v>
    <v>BVMF</v>
    <v>658883300</v>
    <v>22.89</v>
    <v>1999</v>
    <v>22.65</v>
    <v>0.70120000000000005</v>
    <v>B3 - Brazil Stock Exchange</v>
    <v>17297550000</v>
    <v>A ISA Energia Brasil SA, anteriormente CTEEP - Companhia de Transmissão de Energia Elétrica Paulista, é uma empresa pública brasileira que atua na indústria de energia elétrica. A Companhia é concessionária de serviço público de energia elétrica, e está principalmente envolvida na transmissão de energia, o que requer planejamento, implantação de infraestrutura e operação e manutenção de sistemas de transmissão de energia subordinados. A empresa também faz investimentos, gerencia pesquisas e desenvolve programas relacionados à transmissão de energia e outras atividades relacionadas à tecnologia disponível. A Companhia está presente e atua em diversos estados através de suas subsidiárias e faz parte das empresas que formam o grupo econômico ISA, que atua há décadas no setor de transmissão de energia elétrica na Colômbia.</v>
    <v>BVMF</v>
    <v>22.82</v>
    <v>1700</v>
    <v>45849.838638714842</v>
    <v>15</v>
    <v>1327920</v>
    <v>BRL</v>
    <v>ISA ENERGIA BRASIL S.A.</v>
    <v>ISA ENERGIA BRASIL S.A.</v>
    <v>22.78</v>
    <v>22.8</v>
    <v>Av. das Nacoes Unidas 14171 - Torre Crystal, 6 andar, Vila Gertrudes, SAO PAULO, SAO PAULO, 04.794-000 BR</v>
    <v>Electrical Utilities &amp; IPPs</v>
    <v>ISAE4</v>
    <v>Ações</v>
    <v>ISA ENERGIA BRASIL S.A. (BVMF:ISAE4)</v>
    <v>-0.02</v>
    <v>-8.7639999999999994E-4</v>
    <v>1091100</v>
  </rv>
  <rv s="2">
    <v>16</v>
  </rv>
  <rv s="0">
    <v>https://www.bing.com/financeapi/forcetrigger?t=aplzr7&amp;q=BVMF%3aBEES3&amp;form=skydnc</v>
    <v>Learn more on Bing</v>
  </rv>
  <rv s="8">
    <v>pt-BR</v>
    <v>aplzr7</v>
    <v>268435456</v>
    <v>1</v>
    <v>Da plataforma Refinitiv</v>
    <v>14</v>
    <v>15</v>
    <v>BANESTES S.A. – Banco do Estado do Espírito Santo (BVMF:BEES3)</v>
    <v>12</v>
    <v>17</v>
    <v>Finance</v>
    <v>5</v>
    <v>9.17</v>
    <v>7.65</v>
    <v>BVMF</v>
    <v>315912900</v>
    <v>8.66</v>
    <v>1937</v>
    <v>8.4499999999999993</v>
    <v>0.45379999999999998</v>
    <v>B3 - Brazil Stock Exchange</v>
    <v>2675644000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8.44</v>
    <v>2204</v>
    <v>45849.838194478907</v>
    <v>18</v>
    <v>13750</v>
    <v>BRL</v>
    <v>BANESTES S.A. – Banco do Estado do Espírito Santo</v>
    <v>BANESTES S.A. – Banco do Estado do Espírito Santo</v>
    <v>8.5299999999999994</v>
    <v>8.5</v>
    <v>Av Princesa Isabel 574, BL B, 9 ANDAR, Centro, VITORIA, ESPIRITO SANTO, 29.010-931 BR</v>
    <v>Banking Services</v>
    <v>BEES3</v>
    <v>Ações</v>
    <v>BANESTES S.A. – Banco do Estado do Espírito Santo (BVMF:BEES3)</v>
    <v>0.06</v>
    <v>7.1089999999999999E-3</v>
    <v>15500</v>
  </rv>
  <rv s="2">
    <v>19</v>
  </rv>
  <rv s="0">
    <v>https://www.bing.com/financeapi/forcetrigger?t=apltyc&amp;q=BVMF%3aABEV3&amp;form=skydnc</v>
    <v>Learn more on Bing</v>
  </rv>
  <rv s="8">
    <v>pt-BR</v>
    <v>apltyc</v>
    <v>268435456</v>
    <v>1</v>
    <v>Da plataforma Refinitiv</v>
    <v>14</v>
    <v>15</v>
    <v>Ambev S.A. (BVMF:ABEV3)</v>
    <v>12</v>
    <v>16</v>
    <v>Finance</v>
    <v>5</v>
    <v>14.9</v>
    <v>10.46</v>
    <v>BVMF</v>
    <v>15761640000</v>
    <v>13.38</v>
    <v>2005</v>
    <v>13.08</v>
    <v>0.69259999999999999</v>
    <v>B3 - Brazil Stock Exchange</v>
    <v>209629800000</v>
    <v>A Ambev SA, anteriormente Inbev Participações Societarias SA, é uma empresa brasileira com sede no setor cervejeiro. A Companhia produz, distribui e vende cerveja, refrigerantes com gás (CSDs) e outras bebidas não alcoólicas e não carbonatadas (NANC) nas Américas. As atividades da Companhia estão divididas em três segmentos: América Latina do Norte, incluindo venda de cerveja, refrigerantes e bebidas NANC no Brasil, além de operações na República Dominicana, São Vicente, Antígua, Dominica, Cuba, Guatemala, El Salvador, Honduras, Nicarágua, Barbados e Panamá; América Latina Sul, distribuindo produtos na Argentina, Bolívia, Paraguai, Uruguai, Chile; e Canadá, representado pelas operações da Labatt, que inclui vendas no Canadá e algumas exportações para o mercado dos EUA. A Companhia comercializa produtos com várias marcas, como Adriatica, Brahma, Leffe, Budweiser, Corona, PepsiCo e Lipton. É uma subsidiária da Interbrew International BV.</v>
    <v>BVMF</v>
    <v>13.23</v>
    <v>43000</v>
    <v>45850</v>
    <v>21</v>
    <v>26641950</v>
    <v>BRL</v>
    <v>Ambev S.A.</v>
    <v>Ambev S.A.</v>
    <v>13.19</v>
    <v>13.3</v>
    <v>Rua Dr. Renato Paes de Barros, 1.017, 4 andar, Itaim Bibi, SAO PAULO, SAO PAULO, 04.530-001 BR</v>
    <v>Beverages</v>
    <v>ABEV3</v>
    <v>Ações</v>
    <v>Ambev S.A. (BVMF:ABEV3)</v>
    <v>7.0000000000000007E-2</v>
    <v>5.2910000000000006E-3</v>
    <v>40755100</v>
  </rv>
  <rv s="2">
    <v>22</v>
  </rv>
  <rv s="0">
    <v>https://www.bing.com/financeapi/forcetrigger?t=apnahw&amp;q=BVMF%3aRPMG3&amp;form=skydnc</v>
    <v>Learn more on Bing</v>
  </rv>
  <rv s="9">
    <v>pt-BR</v>
    <v>apnahw</v>
    <v>268435456</v>
    <v>1</v>
    <v>Da plataforma Refinitiv</v>
    <v>18</v>
    <v>19</v>
    <v>REFINARIA DE PETROLEOS DE MANGUINHOS S/A - EM RECUPERACAO JUDICIAL (BVMF:RPMG3)</v>
    <v>12</v>
    <v>20</v>
    <v>Finance</v>
    <v>5</v>
    <v>3.31</v>
    <v>2.4</v>
    <v>BVMF</v>
    <v>67691630</v>
    <v>2.9</v>
    <v>1946</v>
    <v>2.9</v>
    <v>0.83540000000000003</v>
    <v>B3 - Brazil Stock Exchange</v>
    <v>196305727</v>
    <v>A Refinaria de Petróleos de Manguinhos S.A. em Recuperação Judicial é uma empresa sediada no Brasil, que se dedica principalmente ao refino de petróleo. A Companhia atua na operação de uma refinaria de petróleo, localizada no estado do Rio de Janeiro, bem como na importação de petróleo bruto e venda de derivados de petróleo. O portfólio de produtos da Companhia inclui gasolina, diesel, destilados minerais, hexano, heptanos, óleo mineral de parafina e óleos lubrificantes. Além disso, fornece serviços de armazenamento, carregamento e descarregamento de carga para outras empresas. A Companhia possui diversas controladas, incluindo Manguinhos Distribuidora SA, Manguinhos Química SA, Biomanguinhos Produtora de Biodiesel SA e Manguinhos Terminais de Graneis Liquidos SA.</v>
    <v>BVMF</v>
    <v>2.91</v>
    <v>45850</v>
    <v>24</v>
    <v>1830</v>
    <v>BRL</v>
    <v>REFINARIA DE PETROLEOS DE MANGUINHOS S/A - EM RECUPERACAO JUDICIAL</v>
    <v>REFINARIA DE PETROLEOS DE MANGUINHOS S/A - EM RECUPERACAO JUDICIAL</v>
    <v>2.9</v>
    <v>2.9</v>
    <v>Avenida Brasil, 3.141,n/a, Benfica, RIO DE JANEIRO, RIO DE JANEIRO, 20.930-041 BR</v>
    <v>Oil &amp; Gas</v>
    <v>RPMG3</v>
    <v>Ações</v>
    <v>REFINARIA DE PETROLEOS DE MANGUINHOS S/A - EM RECUPERACAO JUDICIAL (BVMF:RPMG3)</v>
    <v>-0.01</v>
    <v>-3.4360000000000003E-3</v>
    <v>500</v>
  </rv>
  <rv s="2">
    <v>25</v>
  </rv>
  <rv s="0">
    <v>https://www.bing.com/financeapi/forcetrigger?t=bvcw27&amp;q=BVMF%3aDMVF3&amp;form=skydnc</v>
    <v>Learn more on Bing</v>
  </rv>
  <rv s="8">
    <v>pt-BR</v>
    <v>bvcw27</v>
    <v>268435456</v>
    <v>1</v>
    <v>Da plataforma Refinitiv</v>
    <v>14</v>
    <v>15</v>
    <v>d1000 Varejo Farma Participações S.A. (BVMF:DMVF3)</v>
    <v>12</v>
    <v>17</v>
    <v>Finance</v>
    <v>5</v>
    <v>8</v>
    <v>4.74</v>
    <v>BVMF</v>
    <v>50602840</v>
    <v>5</v>
    <v>2010</v>
    <v>4.74</v>
    <v>0.96209999999999996</v>
    <v>B3 - Brazil Stock Exchange</v>
    <v>239857500</v>
    <v>A d1000 Varejo Farma Participações SA é um varejista farmacêutico com sede no Brasil. Por meio das marcas Drogasmil, Farmalife, Drogarias Tamoio e Drogaria Rosario, a Empresa comercializa medicamentos, suplementos alimentares e cosméticos, entre outros. Opera cerca de 300 lojas nos Estados do Rio de Janeiro, Goiás, Mato Grosso, Tocantins e Distrito Federal. A Companhia é a Unidade de Negócio Varejo do Grupo Profarma.</v>
    <v>BVMF</v>
    <v>4.87</v>
    <v>4200</v>
    <v>45849.837500080466</v>
    <v>27</v>
    <v>73730</v>
    <v>BRL</v>
    <v>d1000 Varejo Farma Participações S.A.</v>
    <v>d1000 Varejo Farma Participações S.A.</v>
    <v>5</v>
    <v>4.74</v>
    <v>Avenida Ayrton Senna, n 2.150 Bloco P, 3 andar, Barra Da Tijuca, Rio De Janeiro, RIO DE JANEIRO, 22.775-003 BR</v>
    <v>Food &amp; Drug Retailing</v>
    <v>DMVF3</v>
    <v>Ações</v>
    <v>d1000 Varejo Farma Participações S.A. (BVMF:DMVF3)</v>
    <v>-0.13</v>
    <v>-2.6693999999999999E-2</v>
    <v>91100</v>
  </rv>
  <rv s="2">
    <v>28</v>
  </rv>
  <rv s="0">
    <v>https://www.bing.com/financeapi/forcetrigger?t=apncjc&amp;q=BVMF%3aSLCE3&amp;form=skydnc</v>
    <v>Learn more on Bing</v>
  </rv>
  <rv s="8">
    <v>pt-BR</v>
    <v>apncjc</v>
    <v>268435456</v>
    <v>1</v>
    <v>Da plataforma Refinitiv</v>
    <v>14</v>
    <v>15</v>
    <v>SLC Agrícola S.A. (BVMF:SLCE3)</v>
    <v>12</v>
    <v>17</v>
    <v>Finance</v>
    <v>5</v>
    <v>20.420000000000002</v>
    <v>16.22</v>
    <v>BVMF</v>
    <v>443329700</v>
    <v>18.260000000000002</v>
    <v>1977</v>
    <v>18.03</v>
    <v>0.48120000000000002</v>
    <v>B3 - Brazil Stock Exchange</v>
    <v>8068600540</v>
    <v>A SLC Agricola SA é uma empresa sediada no Brasil que atua principalmente no setor agrícola. A Companhia atua em todo o ciclo de produção agrícola, que inclui planejamento, compra de suprimentos, preparação do solo, plantio e colheita, bem como processamento e armazenamento, entre outros. As atividades da Companhia estão divididas em dois segmentos de negócio: Produção Agrícola e Portfólio de Terras. A divisão de Produção Agrícola concentra-se no desenvolvimento de plantações de várias culturas, como algodão, soja, milho, trigo, café, sorgo, cana-de-açúcar e girassol. A divisão de portfólio de terrenos é responsável pela aquisição e desenvolvimento de terras para agricultura. A Companhia atua por meio de diversas subsidiárias, como Fazenda Planorte Empreendimentos Agricolas Ltda, SLC-MIT Empreendimentos Agricolas SA e Fazenda Parnaiba Empreendimentos Agricolas Ltda.</v>
    <v>BVMF</v>
    <v>18.149999999999999</v>
    <v>6065</v>
    <v>45849.838194628908</v>
    <v>30</v>
    <v>2212320</v>
    <v>BRL</v>
    <v>SLC Agrícola S.A.</v>
    <v>SLC Agrícola S.A.</v>
    <v>18.04</v>
    <v>18.2</v>
    <v>Rua Bernardo Pires, 128,4andar, Porto Alegre, PORTO ALEGRE, RIO GRANDE DO SUL, 90.620-010 BR</v>
    <v>Food &amp; Tobacco</v>
    <v>SLCE3</v>
    <v>Ações</v>
    <v>SLC Agrícola S.A. (BVMF:SLCE3)</v>
    <v>0.05</v>
    <v>2.7550000000000001E-3</v>
    <v>1630300</v>
  </rv>
  <rv s="2">
    <v>31</v>
  </rv>
  <rv s="0">
    <v>https://www.bing.com/financeapi/forcetrigger?t=bxiatc&amp;q=BVMF%3aOPCT3&amp;form=skydnc</v>
    <v>Learn more on Bing</v>
  </rv>
  <rv s="8">
    <v>pt-BR</v>
    <v>bxiatc</v>
    <v>268435456</v>
    <v>1</v>
    <v>Da plataforma Refinitiv</v>
    <v>14</v>
    <v>15</v>
    <v>Oceanpact Serviços Maritimos S.A. (BVMF:OPCT3)</v>
    <v>12</v>
    <v>17</v>
    <v>Finance</v>
    <v>5</v>
    <v>7.26</v>
    <v>4.8499999999999996</v>
    <v>BVMF</v>
    <v>199959500</v>
    <v>7</v>
    <v>2007</v>
    <v>6.8</v>
    <v>1.2541</v>
    <v>B3 - Brazil Stock Exchange</v>
    <v>1363724000</v>
    <v>Oceanpact Servicos Maritimos SA é uma prestadora de serviços marítimos com sede no Brasil. As atividades da Empresa são divididas em três unidades de negócios: Meio Ambiente, Submarino e Logística e Engenharia. A área de Meio Ambiente se dedica a serviços de proteção, levantamentos oceanográficos, licenciamentos e estudos ambientais, segurança operacional e remediação ambiental. A unidade Submarina está focada em serviços de geofísica, geotécnica, inspeção, reparo e manutenção, bem como no apoio à construção e descomissionamento de empreendimentos offshore. A divisão de Logística e Engenharia presta serviços relacionados com logística marítima, bases de apoio offshore, engenharia portuária e costeira, construção civil e industrial, obras marítimas e portuárias, dragagem e instalações e limpeza industrial. A empresa atende clientes principalmente nos setores de petróleo e gás, energia e telecomunicações.</v>
    <v>BVMF</v>
    <v>7</v>
    <v>2162</v>
    <v>45849.838194976561</v>
    <v>33</v>
    <v>283260</v>
    <v>BRL</v>
    <v>Oceanpact Serviços Maritimos S.A.</v>
    <v>Oceanpact Serviços Maritimos S.A.</v>
    <v>7</v>
    <v>6.82</v>
    <v>Rua da Gloria, n 122, salas 801 e 802 10 pavimento salas 901 e 902, Gloria, RIO DE JANEIRO, RIO DE JANEIRO, 20.241-180 BR</v>
    <v>Professional &amp; Commercial Services</v>
    <v>OPCT3</v>
    <v>Ações</v>
    <v>Oceanpact Serviços Maritimos S.A. (BVMF:OPCT3)</v>
    <v>-0.18</v>
    <v>-2.5714000000000001E-2</v>
    <v>223400</v>
  </rv>
  <rv s="2">
    <v>34</v>
  </rv>
  <rv s="0">
    <v>http://en.wikipedia.org/wiki/Public_domain</v>
    <v>Public domain</v>
  </rv>
  <rv s="0">
    <v>http://en.wikipedia.org/wiki/Santander_Brasil</v>
    <v>Wikipedia</v>
  </rv>
  <rv s="10">
    <v>36</v>
    <v>37</v>
  </rv>
  <rv s="11">
    <v>26</v>
    <v>https://www.bing.com/th?id=AMMS_e9bd359a34230065992cf9d9d217596e&amp;qlt=95</v>
    <v>38</v>
    <v>0</v>
    <v>https://www.bing.com/images/search?form=xlimg&amp;q=santander+brasil</v>
    <v>Image of Banco Santander (Brasil) S.A.</v>
  </rv>
  <rv s="0">
    <v>https://www.bing.com/financeapi/forcetrigger?t=apnaz2&amp;q=BVMF%3aSANB4&amp;form=skydnc</v>
    <v>Learn more on Bing</v>
  </rv>
  <rv s="12">
    <v>pt-BR</v>
    <v>apnaz2</v>
    <v>268435456</v>
    <v>1</v>
    <v>Da plataforma Refinitiv</v>
    <v>21</v>
    <v>22</v>
    <v>Banco Santander (Brasil) S.A. (BVMF:SANB4)</v>
    <v>24</v>
    <v>25</v>
    <v>Finance</v>
    <v>5</v>
    <v>16.02</v>
    <v>11.73</v>
    <v>BVMF</v>
    <v>3749266000</v>
    <v>14.75</v>
    <v>1985</v>
    <v>13.77</v>
    <v>1.1022000000000001</v>
    <v>B3 - Brazil Stock Exchange</v>
    <v>103925500000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14.7</v>
    <v>55646</v>
    <v>45849.906284722223</v>
    <v>39</v>
    <v>40</v>
    <v>56480</v>
    <v>BRL</v>
    <v>Banco Santander (Brasil) S.A.</v>
    <v>Banco Santander (Brasil) S.A.</v>
    <v>14.7</v>
    <v>14.44</v>
    <v>Avenida Presidente Juscelino Kubitschek, n 2041 CJ 281, Bloco A, Vila Nova Conceicao, SAO PAULO, SAO PAULO, 04.543-011 BR</v>
    <v>Banking Services</v>
    <v>SANB4</v>
    <v>Ações</v>
    <v>Banco Santander (Brasil) S.A. (BVMF:SANB4)</v>
    <v>-0.26</v>
    <v>-1.7686999999999998E-2</v>
    <v>168100</v>
  </rv>
  <rv s="2">
    <v>41</v>
  </rv>
  <rv s="0">
    <v>https://www.bing.com/financeapi/forcetrigger?t=apnlr7&amp;q=BVMF%3aWHRL4&amp;form=skydnc</v>
    <v>Learn more on Bing</v>
  </rv>
  <rv s="8">
    <v>pt-BR</v>
    <v>apnlr7</v>
    <v>268435456</v>
    <v>1</v>
    <v>Da plataforma Refinitiv</v>
    <v>14</v>
    <v>15</v>
    <v>WHIRLPOOL S.A. (BVMF:WHRL4)</v>
    <v>12</v>
    <v>16</v>
    <v>Finance</v>
    <v>5</v>
    <v>5.08</v>
    <v>3.61</v>
    <v>BVMF</v>
    <v>1502786000</v>
    <v>4.37</v>
    <v>1957</v>
    <v>4.18</v>
    <v>0.5383</v>
    <v>B3 - Brazil Stock Exchange</v>
    <v>6414571000</v>
    <v>A Whirlpool SA, antiga Multibras SA Eletrodomesticos, é uma empresa sediada no Brasil que atua na produção, comercialização, importação e exportação de eletroeletrônicos e eletrodomésticos. A Companhia fabrica refrigeradores, congeladores, condicionadores de ar, máquinas de gelo, fogões, lava-louças, trituradores de lixo, compactadores de lixo, aspiradores de pó, máquinas de lavar, secadores de roupa e microondas, entre outros. Também produz motores elétricos e compressores herméticos para refrigeração. Além disso, a Companhia oferece serviços de instalação, assistência técnica e manutenção para seus produtos. Ela opera quatro fábricas e dois centros de distribuição no Brasil, além de duas fábricas na China e um centro de distribuição na Argentina. As controladas da Companhia incluem a Whirlpool Eletrodomesticos AM SA, o Consórcio Nacional Brastemp Ltda, a BUD Comercio de Eletrodomesticos Ltda e a Mlog Armazem Geral Ltda, entre outras.</v>
    <v>BVMF</v>
    <v>4.34</v>
    <v>8000</v>
    <v>45850</v>
    <v>43</v>
    <v>45320</v>
    <v>BRL</v>
    <v>WHIRLPOOL S.A.</v>
    <v>WHIRLPOOL S.A.</v>
    <v>4.34</v>
    <v>4.2</v>
    <v>Rua Olympia Semeraro, 675, 1 Andar Sala 06 PA, Jardim Santa Emilia, SAO PAULO, SAO PAULO, 04.183-090 BR</v>
    <v>Household Goods</v>
    <v>WHRL4</v>
    <v>Ações</v>
    <v>WHIRLPOOL S.A. (BVMF:WHRL4)</v>
    <v>-0.14000000000000001</v>
    <v>-3.2258000000000002E-2</v>
    <v>68600</v>
  </rv>
  <rv s="2">
    <v>44</v>
  </rv>
  <rv s="0">
    <v>https://www.bing.com/financeapi/forcetrigger?t=apnfmw&amp;q=BVMF%3aTELB4&amp;form=skydnc</v>
    <v>Learn more on Bing</v>
  </rv>
  <rv s="8">
    <v>pt-BR</v>
    <v>apnfmw</v>
    <v>268435456</v>
    <v>1</v>
    <v>Da plataforma Refinitiv</v>
    <v>14</v>
    <v>15</v>
    <v>Telecomunicações Brasileiras S.A. – TELEBRAS (BVMF:TELB4)</v>
    <v>12</v>
    <v>16</v>
    <v>Finance</v>
    <v>5</v>
    <v>10.7</v>
    <v>6.53</v>
    <v>BVMF</v>
    <v>101983400</v>
    <v>8.09</v>
    <v>1972</v>
    <v>7.82</v>
    <v>1.0290999999999999</v>
    <v>B3 - Brazil Stock Exchange</v>
    <v>1166985000</v>
    <v>Telecomunicacoes Brasileiras SA - A Telebras é uma agência governamental brasileira. A empresa é fornecedora de soluções de conexão. O portfólio de serviços da Telebras SA inclui: Telebras SAT, um serviço de banda larga por satélite de alta capacidade; IP Telebras, que fornece escolas, universidades, hospitais, escolas, universidades, hospitais, etc. e outros com uma conexão livre de problemas; L3VPN - MPLS, que possibilita a criação de redes virtuais privadas (VPNs); Point to Point (P2P), uma solução de transmissão de dados que fornece circuitos dedicados para interconetar pontos de interesse aos clientes em nível nacional, metropolitano ou regional; WiFi Brasil, solução desenvolvida para atender à demanda específica de um contrato com o Ministério das Comunicações; ponto a ponto - TX (canal claro), recomendado para operadores e provedores que exigem infraestrutura de transmissão de alta capacidade para seus backbones de rede; além de Telebras SD-WAN, as redes baseadas em software são uma nova opção para a construção de redes privadas.</v>
    <v>BVMF</v>
    <v>8.0500000000000007</v>
    <v>469</v>
    <v>45850</v>
    <v>46</v>
    <v>9050</v>
    <v>BRL</v>
    <v>Telecomunicações Brasileiras S.A. – TELEBRAS</v>
    <v>Telecomunicações Brasileiras S.A. – TELEBRAS</v>
    <v>8.09</v>
    <v>7.96</v>
    <v>SIG Quadra 4 lotes 075, 083, 125 e 175, Bloco A, Salas 211 a 224, Sig, BRASILIA, DISTRITO FEDERAL, 70.610-440 BR</v>
    <v>Telecommunications Services</v>
    <v>TELB4</v>
    <v>Ações</v>
    <v>Telecomunicações Brasileiras S.A. – TELEBRAS (BVMF:TELB4)</v>
    <v>-0.09</v>
    <v>-1.1180000000000001E-2</v>
    <v>700</v>
  </rv>
  <rv s="2">
    <v>47</v>
  </rv>
  <rv s="0">
    <v>https://www.bing.com/financeapi/forcetrigger?t=apn4gh&amp;q=BVMF%3aPETR4&amp;form=skydnc</v>
    <v>Learn more on Bing</v>
  </rv>
  <rv s="8">
    <v>pt-BR</v>
    <v>apn4gh</v>
    <v>268435456</v>
    <v>1</v>
    <v>Da plataforma Refinitiv</v>
    <v>14</v>
    <v>15</v>
    <v>Petróleo Brasileiro S.A. (Petrobras) (BVMF:PETR4)</v>
    <v>12</v>
    <v>16</v>
    <v>Finance</v>
    <v>5</v>
    <v>36.67</v>
    <v>28.79</v>
    <v>BVMF</v>
    <v>12888730000</v>
    <v>32.700000000000003</v>
    <v>1953</v>
    <v>32.15</v>
    <v>1.0316000000000001</v>
    <v>B3 - Brazil Stock Exchange</v>
    <v>438529300000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32.24</v>
    <v>49185</v>
    <v>45850</v>
    <v>49</v>
    <v>19979930</v>
    <v>BRL</v>
    <v>Petróleo Brasileiro S.A. (Petrobras)</v>
    <v>Petróleo Brasileiro S.A. (Petrobras)</v>
    <v>32.200000000000003</v>
    <v>32.6</v>
    <v>Av. Republica do Chile, n 65, 24 andar, Centro, RIO DE JANEIRO, RIO DE JANEIRO, 20.031-912 BR</v>
    <v>Oil &amp; Gas</v>
    <v>PETR4</v>
    <v>Ações</v>
    <v>Petróleo Brasileiro S.A. (Petrobras) (BVMF:PETR4)</v>
    <v>0.36</v>
    <v>1.1166000000000001E-2</v>
    <v>23946700</v>
  </rv>
  <rv s="2">
    <v>50</v>
  </rv>
  <rv s="0">
    <v>https://www.bing.com/financeapi/forcetrigger?t=bzt9p2&amp;q=BVMF%3aASAI3&amp;form=skydnc</v>
    <v>Learn more on Bing</v>
  </rv>
  <rv s="8">
    <v>pt-BR</v>
    <v>bzt9p2</v>
    <v>268435456</v>
    <v>1</v>
    <v>Da plataforma Refinitiv</v>
    <v>14</v>
    <v>15</v>
    <v>Sendas Distribuidora S.A. (BVMF:ASAI3)</v>
    <v>12</v>
    <v>17</v>
    <v>Finance</v>
    <v>5</v>
    <v>12.04</v>
    <v>4.96</v>
    <v>BVMF</v>
    <v>1352245000</v>
    <v>10.17</v>
    <v>2003</v>
    <v>9.93</v>
    <v>1.4383999999999999</v>
    <v>B3 - Brazil Stock Exchange</v>
    <v>13495410000</v>
    <v>A Sendas Distribuidora SA, também conhecida como Assai Atacadista, é uma empresa com sede no Brasil que atua principalmente no setor de distribuição de alimentos. As atividades da Empresa estão divididas em dois segmentos operacionais: Cash &amp; Carry e Varejo. Por meio do segmento de Cash &amp; Carry, a Companhia oferece alimentos, artigos de bazar e outros produtos para o atacado, por meio de lojas de autoatendimento operadas no Brasil com a marca Assai. O segmento de Varejo inclui operações de hipermercados, supermercados e lojas de conveniência sob as seguintes marcas: Exito, Carulla, Surtimaorista, Surtimax, Super Inter e Viva Malls na Colômbia; Devoto, Disco e Geant no Uruguai; e Libertad, Mini Libertad e Paseo Libertad Malls na Argentina.</v>
    <v>BVMF</v>
    <v>10.210000000000001</v>
    <v>87000</v>
    <v>45849.838659200781</v>
    <v>52</v>
    <v>13360680</v>
    <v>BRL</v>
    <v>Sendas Distribuidora S.A.</v>
    <v>Sendas Distribuidora S.A.</v>
    <v>10.16</v>
    <v>9.98</v>
    <v>Avenida Ayrton Senna, 6.000 Jacarepagua, RIO DE JANEIRO, RIO DE JANEIRO, 22.775-005 BR</v>
    <v>Food &amp; Drug Retailing</v>
    <v>ASAI3</v>
    <v>Ações</v>
    <v>Sendas Distribuidora S.A. (BVMF:ASAI3)</v>
    <v>-0.23</v>
    <v>-2.2526999999999998E-2</v>
    <v>9915200</v>
  </rv>
  <rv s="2">
    <v>53</v>
  </rv>
  <rv s="0">
    <v>https://www.bing.com/financeapi/forcetrigger?t=apncdm&amp;q=BVMF%3aSHUL4&amp;form=skydnc</v>
    <v>Learn more on Bing</v>
  </rv>
  <rv s="8">
    <v>pt-BR</v>
    <v>apncdm</v>
    <v>268435456</v>
    <v>1</v>
    <v>Da plataforma Refinitiv</v>
    <v>14</v>
    <v>15</v>
    <v>SCHULZ S.A. (BVMF:SHUL4)</v>
    <v>12</v>
    <v>16</v>
    <v>Finance</v>
    <v>5</v>
    <v>6.58</v>
    <v>4.93</v>
    <v>BVMF</v>
    <v>357374800</v>
    <v>5.25</v>
    <v>1963</v>
    <v>5.19</v>
    <v>0.58360000000000001</v>
    <v>B3 - Brazil Stock Exchange</v>
    <v>1062300000</v>
    <v>A Schulz S.A. é uma empresa brasileira dedicada à produção de máquinas e equipamentos industriais. A Empresa divide seu negócio em dois segmentos: a Divisão de Compressores e a Divisão Automotiva. A carteira de produtos da Empresa inclui produtos metalúrgicos; compressores de ar em geral; compressores de ar e bombas a vácuo para o setor de saúde; ferramentas manuais pneumáticas e elétricas; ferramentas manuais para aperto, fixação e corte; máquinas, ferramentas, utensílios e acessórios para pulverização e trabalho em metais; materiais para escavação e penetração do solo; limpadores à água sob pressão; bombas e motobombas para bombeamento de água, e equipamentos mecânicos, hidráulicos e elétricos, entre outros. A Empresa também atua na comercialização de óleos lubrificantes e graxas. Além disso, ela presta serviços de corte e pintura de peças fundidas, bem como serviços de instalação, manutenção, assistência técnica e aluguel de produtos da Empresa.</v>
    <v>BVMF</v>
    <v>5.24</v>
    <v>3699</v>
    <v>45850</v>
    <v>55</v>
    <v>415300</v>
    <v>BRL</v>
    <v>SCHULZ S.A.</v>
    <v>SCHULZ S.A.</v>
    <v>5.25</v>
    <v>5.19</v>
    <v>Rua: Dona Francisca, 6901, Distrito Industrial, JOINVILLE, SANTA CATARINA, 89.219-600 BR</v>
    <v>Machinery, Equipment &amp; Components</v>
    <v>SHUL4</v>
    <v>Ações</v>
    <v>SCHULZ S.A. (BVMF:SHUL4)</v>
    <v>-0.05</v>
    <v>-9.5420000000000001E-3</v>
    <v>317900</v>
  </rv>
  <rv s="2">
    <v>56</v>
  </rv>
  <rv s="0">
    <v>https://www.bing.com/financeapi/forcetrigger?t=apmuyc&amp;q=BVMF%3aLEVE3&amp;form=skydnc</v>
    <v>Learn more on Bing</v>
  </rv>
  <rv s="8">
    <v>pt-BR</v>
    <v>apmuyc</v>
    <v>268435456</v>
    <v>1</v>
    <v>Da plataforma Refinitiv</v>
    <v>14</v>
    <v>15</v>
    <v>MAHLE Metal Leve S.A (BVMF:LEVE3)</v>
    <v>12</v>
    <v>16</v>
    <v>Finance</v>
    <v>5</v>
    <v>32.83</v>
    <v>24.46</v>
    <v>BVMF</v>
    <v>135539000</v>
    <v>29.89</v>
    <v>1950</v>
    <v>29.2</v>
    <v>0.76439999999999997</v>
    <v>B3 - Brazil Stock Exchange</v>
    <v>3957738800</v>
    <v>A MAHLE Metal Leve S.A. é uma empresa brasileira dedicada essencialmente à fabricação de peças para motores automotivos. As atividades da Empresa se dividem em dois segmentos comerciais: Componentes do motor e Filtros. A divisão Componentes do motor produz peças para motores de combustão interna e veículos automotores, como anéis, sensores, balancins, varetas, pedivelas, buchas, mangas do cilindro, tampas de rolamento, conjuntos de balancins, coroas, injetores, sincronizadores, juntas universais, eixos, engrenagens, guias e assentos de válvula, pistões, impulsores de bombas de água e óleo, e eixos e polias do pistão. A divisão Filtros fabrica vários tipos de filtros, como filtros de combustível, ar, óleo, de cabine e prensa, usados em veículos, e aplicados na indústria, estações de serviços automobilísticos, transporte de passageiros e de carga, terraplanagem, terminais de pesca e fazendas. A Empresa é indiretamente controlada pela Mahle Industriebeteiligungen GmbH.</v>
    <v>BVMF</v>
    <v>29.83</v>
    <v>7560</v>
    <v>45850</v>
    <v>58</v>
    <v>210050</v>
    <v>BRL</v>
    <v>MAHLE Metal Leve S.A</v>
    <v>MAHLE Metal Leve S.A</v>
    <v>29.51</v>
    <v>29.2</v>
    <v>Av. Ernst MAHLE, 2000, Mombaca, MOGI GUACU, SAO PAULO, 13.849-050 BR</v>
    <v>Automobiles &amp; Auto Parts</v>
    <v>LEVE3</v>
    <v>Ações</v>
    <v>MAHLE Metal Leve S.A (BVMF:LEVE3)</v>
    <v>-0.63</v>
    <v>-2.112E-2</v>
    <v>148800</v>
  </rv>
  <rv s="2">
    <v>59</v>
  </rv>
  <rv s="0">
    <v>https://www.bing.com/financeapi/forcetrigger?t=apmb7w&amp;q=BVMF%3aCPLE6&amp;form=skydnc</v>
    <v>Learn more on Bing</v>
  </rv>
  <rv s="8">
    <v>pt-BR</v>
    <v>apmb7w</v>
    <v>268435456</v>
    <v>1</v>
    <v>Da plataforma Refinitiv</v>
    <v>14</v>
    <v>15</v>
    <v>Companhia Paranaense de Energia - Copel (BVMF:CPLE6)</v>
    <v>12</v>
    <v>16</v>
    <v>Finance</v>
    <v>5</v>
    <v>12.88</v>
    <v>8.39</v>
    <v>BVMF</v>
    <v>2982811000</v>
    <v>12.03</v>
    <v>1954</v>
    <v>11.76</v>
    <v>0.85680000000000001</v>
    <v>B3 - Brazil Stock Exchange</v>
    <v>34421700000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11.92</v>
    <v>4396</v>
    <v>45850</v>
    <v>61</v>
    <v>10791700</v>
    <v>BRL</v>
    <v>Companhia Paranaense de Energia - Copel</v>
    <v>Companhia Paranaense de Energia - Copel</v>
    <v>11.83</v>
    <v>11.95</v>
    <v>Rua Jose Izidoro Biazetto, 158, Orleans, CURITIBA, PARANA, 81.200-240 BR</v>
    <v>Electrical Utilities &amp; IPPs</v>
    <v>CPLE6</v>
    <v>Ações</v>
    <v>Companhia Paranaense de Energia - Copel (BVMF:CPLE6)</v>
    <v>0.03</v>
    <v>2.5169999999999997E-3</v>
    <v>7881000</v>
  </rv>
  <rv s="2">
    <v>62</v>
  </rv>
  <rv s="0">
    <v>https://www.bing.com/financeapi/forcetrigger?t=apm7rw&amp;q=BVMF%3aCEBR6&amp;form=skydnc</v>
    <v>Learn more on Bing</v>
  </rv>
  <rv s="8">
    <v>pt-BR</v>
    <v>apm7rw</v>
    <v>268435456</v>
    <v>1</v>
    <v>Da plataforma Refinitiv</v>
    <v>14</v>
    <v>15</v>
    <v>COMPANHIA ENERGÉTICA DE BRASÍLIA - CEB (BVMF:CEBR6)</v>
    <v>12</v>
    <v>16</v>
    <v>Finance</v>
    <v>5</v>
    <v>22.35</v>
    <v>14.98</v>
    <v>BVMF</v>
    <v>72081910</v>
    <v>22.1</v>
    <v>1968</v>
    <v>21.67</v>
    <v>0.63900000000000001</v>
    <v>B3 - Brazil Stock Exchange</v>
    <v>1492335000</v>
    <v>A CEB, antiga Companhia de Eletricidade de Brasília, é uma agência governamental com sede no Brasil. A Companhia atua no segmento de geração de energia elétrica. É também uma provedora de serviços de iluminação pública no Distrito Federal do Brasil. A Companhia Energetica de Brasília também atua por meio de suas subsidiárias, incluindo a CEB Geracao SA, empresa de geração de energia elétrica; a CEB Lajeado SA, que vende energia elétrica da Usina Luis Eduardo Magalhães; a CEB Participações SA, que detém ações e cotas em outras empresas de energia; bem como a Companhia Brasiliense de Gás SA - CEBGAS, responsável pelos serviços de distribuição e comercialização de gás natural no Distrito Federal.</v>
    <v>BVMF</v>
    <v>21.8</v>
    <v>845</v>
    <v>45850</v>
    <v>64</v>
    <v>9060</v>
    <v>BRL</v>
    <v>COMPANHIA ENERGÉTICA DE BRASÍLIA - CEB</v>
    <v>COMPANHIA ENERGÉTICA DE BRASÍLIA - CEB</v>
    <v>22.08</v>
    <v>21.73</v>
    <v>SGAN Quadra 601, Bloco H, Salas 2010 a 2023 Edificio ION, Asa Norte, BRASILIA, DISTRITO FEDERAL, 70.830-010 BR</v>
    <v>Electrical Utilities &amp; IPPs</v>
    <v>CEBR6</v>
    <v>Ações</v>
    <v>COMPANHIA ENERGÉTICA DE BRASÍLIA - CEB (BVMF:CEBR6)</v>
    <v>-7.0000000000000007E-2</v>
    <v>-3.2109999999999999E-3</v>
    <v>1400</v>
  </rv>
  <rv s="2">
    <v>65</v>
  </rv>
  <rv s="0">
    <v>https://www.bing.com/financeapi/forcetrigger?t=awjx27&amp;q=BVMF%3aPRNR3&amp;form=skydnc</v>
    <v>Learn more on Bing</v>
  </rv>
  <rv s="8">
    <v>pt-BR</v>
    <v>awjx27</v>
    <v>268435456</v>
    <v>1</v>
    <v>Da plataforma Refinitiv</v>
    <v>14</v>
    <v>15</v>
    <v>PRINER SERVIÇOS INDUSTRIAIS S.A. (BVMF:PRNR3)</v>
    <v>12</v>
    <v>16</v>
    <v>Finance</v>
    <v>5</v>
    <v>17.829999999999998</v>
    <v>9.8800000000000008</v>
    <v>BVMF</v>
    <v>56720760</v>
    <v>15.58</v>
    <v>2013</v>
    <v>15.4</v>
    <v>1.0428999999999999</v>
    <v>B3 - Brazil Stock Exchange</v>
    <v>879739000</v>
    <v>PRINER SERVIÇOS INDUSTRIAIS S.A. é uma empresa com sede no Brasil, que atua no segmento de manutenção industrial e de serviços. A Companhia opera em todo o Brasil oferecendo serviços nas áreas de petroquímica, celulose e papel, aço, offshore, naval e de mineração. A Priner Serviços Industriais SA é especializada em Acesso, Pintura Industrial,Tratamento de Superfície, Isolamento Térmico e Habitat Pressurizado. Suas soluções de acesso incluem: Sistema Up, WEB Deck, Sistema de Encaixa, bem como Acesso por Cordas. Suas soluções Habitat incluem: segurança e economia, flexibilidade e certificações. Suas soluções de Isolamento Térmico incluem: convencional, removível e reutilizável, bem como proteção contra fogo passivo. Suas soluções de Pintura Industrial incluem: preservação do patrimônio, design customizado e técnicos qualificados.</v>
    <v>BVMF</v>
    <v>15.48</v>
    <v>6994</v>
    <v>45850</v>
    <v>67</v>
    <v>476870</v>
    <v>BRL</v>
    <v>PRINER SERVIÇOS INDUSTRIAIS S.A.</v>
    <v>PRINER SERVIÇOS INDUSTRIAIS S.A.</v>
    <v>15.58</v>
    <v>15.56</v>
    <v>Av. Geremario Dantas, 1400 2. Piso - Quality Shopping - Freguesia Jacarepagua, RIO DE JANEIRO, RIO DE JANEIRO BR</v>
    <v>Professional &amp; Commercial Services</v>
    <v>PRNR3</v>
    <v>Ações</v>
    <v>PRINER SERVIÇOS INDUSTRIAIS S.A. (BVMF:PRNR3)</v>
    <v>0.08</v>
    <v>5.1680000000000007E-3</v>
    <v>147900</v>
  </rv>
  <rv s="2">
    <v>68</v>
  </rv>
  <rv s="0">
    <v>https://www.bing.com/financeapi/forcetrigger?t=apma5r&amp;q=BVMF%3aCMIG4&amp;form=skydnc</v>
    <v>Learn more on Bing</v>
  </rv>
  <rv s="8">
    <v>pt-BR</v>
    <v>apma5r</v>
    <v>268435456</v>
    <v>1</v>
    <v>Da plataforma Refinitiv</v>
    <v>14</v>
    <v>15</v>
    <v>Companhia Energética de Minas Gerais - CEMIG (BVMF:CMIG4)</v>
    <v>12</v>
    <v>16</v>
    <v>Finance</v>
    <v>5</v>
    <v>11.27</v>
    <v>8.6</v>
    <v>BVMF</v>
    <v>2861782000</v>
    <v>10.89</v>
    <v>1952</v>
    <v>10.74</v>
    <v>0.81379999999999997</v>
    <v>B3 - Brazil Stock Exchange</v>
    <v>35288560000</v>
    <v>Energy of Minas Gerais Co é uma holding sediada no Brasil. A Companhia atua em diversos estados do Brasil, através de inúmeras subsidiárias. No entanto, as operações da Companhia são centralizadas principalmente no estado de Minas Gerais. O principal segmento operacional é a distribuição de energia elétrica, seguida pela comercialização de energia elétrica, distribuição de gás, geração de energia elétrica e transmissão de energia elétrica. Constituída para atuar na comercialização de energia elétrica e como holding, com interesses em subsidiárias ou entidades controladas conjuntamente, cujos objetivos são: Construção e operação de sistemas de geração, transformação, transmissão, distribuição e venda de energia, e também atividades nos diversos campos do setor energético, incluindo distribuição de gás, prestação de serviços de geração distribuída e soluções de eficiência energética, para fins de operação comercial.</v>
    <v>BVMF</v>
    <v>10.79</v>
    <v>5028</v>
    <v>45850</v>
    <v>70</v>
    <v>10926490</v>
    <v>BRL</v>
    <v>Companhia Energética de Minas Gerais - CEMIG</v>
    <v>Companhia Energética de Minas Gerais - CEMIG</v>
    <v>10.78</v>
    <v>10.8</v>
    <v>Avenida Barbacena, 1200, 16 / B1, Santo Agostinho, BELO HORIZONTE, MINAS GERAIS, 30.190-131 BR</v>
    <v>Electrical Utilities &amp; IPPs</v>
    <v>CMIG4</v>
    <v>Ações</v>
    <v>Companhia Energética de Minas Gerais - CEMIG (BVMF:CMIG4)</v>
    <v>0.01</v>
    <v>9.2679999999999998E-4</v>
    <v>9662200</v>
  </rv>
  <rv s="2">
    <v>71</v>
  </rv>
  <rv s="0">
    <v>https://www.bing.com/financeapi/forcetrigger?t=aplzu2&amp;q=BVMF%3aBEES4&amp;form=skydnc</v>
    <v>Learn more on Bing</v>
  </rv>
  <rv s="8">
    <v>pt-BR</v>
    <v>aplzu2</v>
    <v>268435456</v>
    <v>1</v>
    <v>Da plataforma Refinitiv</v>
    <v>14</v>
    <v>15</v>
    <v>BANESTES S.A. – Banco do Estado do Espírito Santo (BVMF:BEES4)</v>
    <v>12</v>
    <v>17</v>
    <v>Finance</v>
    <v>5</v>
    <v>9.7899999999999991</v>
    <v>7.8</v>
    <v>BVMF</v>
    <v>315912900</v>
    <v>8.68</v>
    <v>1937</v>
    <v>8.5</v>
    <v>0.45379999999999998</v>
    <v>B3 - Brazil Stock Exchange</v>
    <v>2675644000</v>
    <v>O Banestes S.A. - Banco do Estado do Espírito Santo é um banco comercial brasileiro. O Banco presta diversos serviços financeiros, incluindo um portfólio de créditos comerciais, rurais, industriais e imobiliários; câmbio; operações de leasing; administração de cartão de crédito e gestão de fundos de investimento, entre outros. Através de suas subsidiárias, o Banco também oferece produtos de seguros, além de distribuição, corretagem e gestão de ativos de terceiros. Além disso, atua na gestão do programa de alimentação dos trabalhadores (PAT). Em 31 de dezembro de 2011, as subsidiárias do Banco incluíam a Banestes Seguros S.A., Banestes Distribuidora de Títulos e Valores Mobiliários S.A. e Banestes Administradora e Corretora de Seguros Previdência e Capitalização Ltda. Em 17 de janeiro de 2012, a Empresa incorporou suas subsidiárias Banestes Seguros S.A. e Banestes Distribuidora de Títulos e Valores Mobiliários S.A.</v>
    <v>BVMF</v>
    <v>8.5500000000000007</v>
    <v>2204</v>
    <v>45849.838194478907</v>
    <v>73</v>
    <v>13750</v>
    <v>BRL</v>
    <v>BANESTES S.A. – Banco do Estado do Espírito Santo</v>
    <v>BANESTES S.A. – Banco do Estado do Espírito Santo</v>
    <v>8.68</v>
    <v>8.52</v>
    <v>Av Princesa Isabel 574, BL B, 9 ANDAR, Centro, VITORIA, ESPIRITO SANTO, 29.010-931 BR</v>
    <v>Banking Services</v>
    <v>BEES4</v>
    <v>Ações</v>
    <v>BANESTES S.A. – Banco do Estado do Espírito Santo (BVMF:BEES4)</v>
    <v>-0.03</v>
    <v>-3.509E-3</v>
    <v>2700</v>
  </rv>
  <rv s="2">
    <v>74</v>
  </rv>
  <rv s="0">
    <v>https://www.bing.com/financeapi/forcetrigger?t=apn5a2&amp;q=BVMF%3aPOMO3&amp;form=skydnc</v>
    <v>Learn more on Bing</v>
  </rv>
  <rv s="8">
    <v>pt-BR</v>
    <v>apn5a2</v>
    <v>268435456</v>
    <v>1</v>
    <v>Da plataforma Refinitiv</v>
    <v>14</v>
    <v>15</v>
    <v>MARCOPOLO S.A. (BVMF:POMO3)</v>
    <v>12</v>
    <v>16</v>
    <v>Finance</v>
    <v>5</v>
    <v>6.93</v>
    <v>4.2300000000000004</v>
    <v>BVMF</v>
    <v>1136271000</v>
    <v>6.52</v>
    <v>1949</v>
    <v>6.37</v>
    <v>0.82509999999999994</v>
    <v>B3 - Brazil Stock Exchange</v>
    <v>8465175000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6.53</v>
    <v>16027</v>
    <v>45850</v>
    <v>76</v>
    <v>8571750</v>
    <v>BRL</v>
    <v>MARCOPOLO S.A.</v>
    <v>MARCOPOLO S.A.</v>
    <v>6.52</v>
    <v>6.44</v>
    <v>Avenida Marcopolo,280, Planalto, CAXIAS DO SUL, RIO GRANDE DO SUL, 95.086-200 BR</v>
    <v>Automobiles &amp; Auto Parts</v>
    <v>POMO3</v>
    <v>Ações</v>
    <v>MARCOPOLO S.A. (BVMF:POMO3)</v>
    <v>-0.09</v>
    <v>-1.3783E-2</v>
    <v>280500</v>
  </rv>
  <rv s="2">
    <v>77</v>
  </rv>
  <rv s="0">
    <v>https://www.bing.com/financeapi/forcetrigger?t=bxgdk2&amp;q=BVMF%3aBMOB3&amp;form=skydnc</v>
    <v>Learn more on Bing</v>
  </rv>
  <rv s="9">
    <v>pt-BR</v>
    <v>bxgdk2</v>
    <v>268435456</v>
    <v>1</v>
    <v>Da plataforma Refinitiv</v>
    <v>18</v>
    <v>19</v>
    <v>BEMOBI MOBILE TECH S.A. (BVMF:BMOB3)</v>
    <v>12</v>
    <v>27</v>
    <v>Finance</v>
    <v>5</v>
    <v>23.45</v>
    <v>12.4</v>
    <v>BVMF</v>
    <v>85608390</v>
    <v>22.69</v>
    <v>2007</v>
    <v>21.89</v>
    <v>1.2286999999999999</v>
    <v>B3 - Brazil Stock Exchange</v>
    <v>1873968000</v>
    <v>A Bemobi Mobile Tech SA é uma empresa brasileira envolvida na mídia móvel e na indústria de entretenimento. A empresa está focada na distribuição e monetização de aplicativos móveis, jogos e serviços digitais. A Companhia atua no modelo Business-To-Business-To-Consumer (B2B2C), em parceria com operadoras de telefonia móvel. Os serviços da Empresa são divididos em três unidades: Aplicativos e Jogos, Microfinanças e Comunicações. A unidade de Aplicativos e Jogos está focada em Apps Club baseados em assinatura, que oferece aplicativos móveis e jogos fornecidos pelos parceiros de conteúdo da Empresa, incluindo desenvolvedores, editores e distribuidores. A unidade de Microfinanças oferece serviços para usuários de celulares pré-pagos, incluindo recarga por cartão de crédito ou débito e pacotes de Airtime e Data Advance a pagar na próxima recarga, entre outros. A unidade de Comunicações oferece soluções relacionadas a chamadas de voz, como correio de voz e transcrição de áudio para texto.</v>
    <v>BVMF</v>
    <v>22.5</v>
    <v>45849.838194976561</v>
    <v>79</v>
    <v>547290</v>
    <v>BRL</v>
    <v>BEMOBI MOBILE TECH S.A.</v>
    <v>BEMOBI MOBILE TECH S.A.</v>
    <v>22.51</v>
    <v>21.89</v>
    <v>Av. Barao de Tefe, n. 27 12 Andar, Saude, RIO DE JANEIRO, RIO DE JANEIRO, 20.220-460 BR</v>
    <v>Software &amp; IT Services</v>
    <v>BMOB3</v>
    <v>Ações</v>
    <v>BEMOBI MOBILE TECH S.A. (BVMF:BMOB3)</v>
    <v>-0.61</v>
    <v>-2.7111E-2</v>
    <v>348100</v>
  </rv>
  <rv s="2">
    <v>80</v>
  </rv>
  <rv s="0">
    <v>https://www.bing.com/financeapi/forcetrigger?t=apmzur&amp;q=BVMF%3aMTSA4&amp;form=skydnc</v>
    <v>Learn more on Bing</v>
  </rv>
  <rv s="8">
    <v>pt-BR</v>
    <v>apmzur</v>
    <v>268435456</v>
    <v>1</v>
    <v>Da plataforma Refinitiv</v>
    <v>14</v>
    <v>15</v>
    <v>METISA METALURGICA TIMBOENSE S.A. (BVMF:MTSA4)</v>
    <v>12</v>
    <v>16</v>
    <v>Finance</v>
    <v>5</v>
    <v>44</v>
    <v>29.96</v>
    <v>BVMF</v>
    <v>9137260</v>
    <v>43.39</v>
    <v>1942</v>
    <v>42.72</v>
    <v>0.42920000000000003</v>
    <v>B3 - Brazil Stock Exchange</v>
    <v>530176100</v>
    <v>A METISA Metalúrgica Timboense S.A. é uma empresa brasileira dedicada essencialmente à produção de peças de aço para máquinas industriais e agrícolas. Os produtos da Empresa incluem peças para equipamentos agrícolas, peças para tratores, lâminas para o setor da construção, lâminas para corte de pedras, acessórios ferroviários, itens para equipamentos rodoviários, arruelas, ferramentas manuais, acessórios para caminhões e outros produtos de aço. O processo de fabricação consiste no processamento a quente do aço, tratamento térmico e operações de acabamento. A Metisa vende seus produtos para outras empresas, que os utilizam para produzir máquinas, como também para o mercado de peças de reposição. Em 31 de dezembro de 2011, a Empresa detinha integralmente a METISA Florestal e Energética S.A., que se dedica ao reflorestamento e à exploração comercial de produtos florestais.</v>
    <v>BVMF</v>
    <v>43.44</v>
    <v>1065</v>
    <v>45850</v>
    <v>82</v>
    <v>3580</v>
    <v>BRL</v>
    <v>METISA METALURGICA TIMBOENSE S.A.</v>
    <v>METISA METALURGICA TIMBOENSE S.A.</v>
    <v>42.72</v>
    <v>43.16</v>
    <v>Rua Fritz Lorenz, 2442, Distrito Industrial, TIMBO, SANTA CATARINA, 89.120-000 BR</v>
    <v>Machinery, Equipment &amp; Components</v>
    <v>MTSA4</v>
    <v>Ações</v>
    <v>METISA METALURGICA TIMBOENSE S.A. (BVMF:MTSA4)</v>
    <v>-0.28000000000000003</v>
    <v>-6.4459999999999995E-3</v>
    <v>500</v>
  </rv>
  <rv s="2">
    <v>83</v>
  </rv>
  <rv s="0">
    <v>https://www.bing.com/financeapi/forcetrigger?t=bgnmm7&amp;q=BVMF%3aCAMB3&amp;form=skydnc</v>
    <v>Learn more on Bing</v>
  </rv>
  <rv s="8">
    <v>pt-BR</v>
    <v>bgnmm7</v>
    <v>268435456</v>
    <v>1</v>
    <v>Da plataforma Refinitiv</v>
    <v>14</v>
    <v>15</v>
    <v>CAMBUCI S.A. (BVMF:CAMB3)</v>
    <v>12</v>
    <v>17</v>
    <v>Finance</v>
    <v>5</v>
    <v>12.33</v>
    <v>9.17</v>
    <v>BVMF</v>
    <v>42275080</v>
    <v>10.19</v>
    <v>1945</v>
    <v>9.91</v>
    <v>0.14099999999999999</v>
    <v>B3 - Brazil Stock Exchange</v>
    <v>418946042</v>
    <v>A Cambuci S.A é uma empresa brasileira dedicada à fabricação e venda de vestuário e equipamentos esportivos. Os produtos da Empresa são negociados sob a marca Penalty e eles são divididos em cinco principais linhas de produtos: Profissional, Especial, Casual, Equipes e Infanto-juvenil. Seus produtos incluem bolas, calçados e vestuário para vários esportes, como corrida, futebol, voleibol, basquetebol, handebol, rúgbi e futebol de praia. Em 31 de dezembro de 2011, as subsidiárias da Empresa incluíam a Latinline, a Penalty Argentina SA, a Cambuci Trust SA, a Penalty Chile, a Impar Paraguay, a Era Sports Ltda., a Cambuci Importadora Ltda., a Impar Sports Ltda. e a Penalty Iberia.</v>
    <v>BVMF</v>
    <v>10</v>
    <v>2078</v>
    <v>45849.836805693747</v>
    <v>85</v>
    <v>87500</v>
    <v>BRL</v>
    <v>CAMBUCI S.A.</v>
    <v>CAMBUCI S.A.</v>
    <v>9.98</v>
    <v>9.91</v>
    <v>Avenida Getulio Vargas, 930,Escritorio, Marmeleiro, SAO PAULO, SAO PAULO, 18.130-430 BR</v>
    <v>Leisure Products</v>
    <v>CAMB3</v>
    <v>Ações</v>
    <v>CAMBUCI S.A. (BVMF:CAMB3)</v>
    <v>-0.09</v>
    <v>-9.0000000000000011E-3</v>
    <v>95800</v>
  </rv>
  <rv s="2">
    <v>86</v>
  </rv>
  <rv s="0">
    <v>https://www.bing.com/financeapi/forcetrigger?t=apm3m7&amp;q=BVMF%3aBRAP3&amp;form=skydnc</v>
    <v>Learn more on Bing</v>
  </rv>
  <rv s="9">
    <v>pt-BR</v>
    <v>apm3m7</v>
    <v>268435456</v>
    <v>1</v>
    <v>Da plataforma Refinitiv</v>
    <v>18</v>
    <v>19</v>
    <v>Bradespar S.A (BVMF:BRAP3)</v>
    <v>12</v>
    <v>27</v>
    <v>Finance</v>
    <v>5</v>
    <v>17.239999999999998</v>
    <v>14</v>
    <v>BVMF</v>
    <v>393096600</v>
    <v>15.4</v>
    <v>2000</v>
    <v>15.15</v>
    <v>0.9133</v>
    <v>B3 - Brazil Stock Exchange</v>
    <v>6333262000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15.3</v>
    <v>45849.837500092188</v>
    <v>88</v>
    <v>3283340</v>
    <v>BRL</v>
    <v>Bradespar S.A</v>
    <v>Bradespar S.A</v>
    <v>15.15</v>
    <v>15.4</v>
    <v>Avenida Paulista, 1.450,9 andar, Cerqueira Cesar, SAO PAULO, SAO PAULO, 01.310-917 BR</v>
    <v>Metals &amp; Mining</v>
    <v>BRAP3</v>
    <v>Ações</v>
    <v>Bradespar S.A (BVMF:BRAP3)</v>
    <v>0.1</v>
    <v>6.5359999999999993E-3</v>
    <v>31600</v>
  </rv>
  <rv s="2">
    <v>89</v>
  </rv>
  <rv s="0">
    <v>https://www.bing.com/financeapi/forcetrigger?t=apmpkr&amp;q=BVMF%3aHAGA4&amp;form=skydnc</v>
    <v>Learn more on Bing</v>
  </rv>
  <rv s="9">
    <v>pt-BR</v>
    <v>apmpkr</v>
    <v>268435456</v>
    <v>1</v>
    <v>Da plataforma Refinitiv</v>
    <v>18</v>
    <v>19</v>
    <v>HAGA S.A. INDUSTRIA E COMERCIO (BVMF:HAGA4)</v>
    <v>12</v>
    <v>20</v>
    <v>Finance</v>
    <v>5</v>
    <v>1.39</v>
    <v>1.1299999999999999</v>
    <v>BVMF</v>
    <v>11900000</v>
    <v>1.17</v>
    <v>1937</v>
    <v>1.17</v>
    <v>1.0128999999999999</v>
    <v>B3 - Brazil Stock Exchange</v>
    <v>17017000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1.17</v>
    <v>45850</v>
    <v>91</v>
    <v>3320</v>
    <v>BRL</v>
    <v>HAGA S.A. INDUSTRIA E COMERCIO</v>
    <v>HAGA S.A. INDUSTRIA E COMERCIO</v>
    <v>1.17</v>
    <v>1.17</v>
    <v>Avenida Engenheiro Hans Gaiser, 26,Predio, Centro, NOVA FRIBURGO, RIO DE JANEIRO, 28.605-220 BR</v>
    <v>Specialty Retailers</v>
    <v>HAGA4</v>
    <v>Ações</v>
    <v>HAGA S.A. INDUSTRIA E COMERCIO (BVMF:HAGA4)</v>
    <v>0</v>
    <v>0</v>
    <v>2000</v>
  </rv>
  <rv s="2">
    <v>92</v>
  </rv>
  <rv s="0">
    <v>https://www.bing.com/financeapi/forcetrigger?t=apnaw7&amp;q=BVMF%3aSANB3&amp;form=skydnc</v>
    <v>Learn more on Bing</v>
  </rv>
  <rv s="12">
    <v>pt-BR</v>
    <v>apnaw7</v>
    <v>268435456</v>
    <v>1</v>
    <v>Da plataforma Refinitiv</v>
    <v>21</v>
    <v>22</v>
    <v>Banco Santander (Brasil) S.A. (BVMF:SANB3)</v>
    <v>24</v>
    <v>25</v>
    <v>Finance</v>
    <v>5</v>
    <v>14.7</v>
    <v>10.52</v>
    <v>BVMF</v>
    <v>3749266000</v>
    <v>13.44</v>
    <v>1985</v>
    <v>13.13</v>
    <v>1.1022000000000001</v>
    <v>B3 - Brazil Stock Exchange</v>
    <v>103925500000</v>
    <v>O Banco Santander Brasil SA é um banco brasileiro. O Banco atua através de dois segmentos: Varejo e Atacado. O segmento Varejo presta serviços financeiros a particulares, bem como a pequenas e médias empresas. O segmento de Atacado concentra-se em grandes corporações e mercados de capitais. Juntamente com as suas subsidiárias, o Banco oferece uma gama de serviços financeiros, incluindo serviços bancários de consumo, comercial e de investimento, empréstimos e financiamentos, empréstimos hipotecários, leasing, operações de cartão de crédito e câmbio. O Banco também está envolvido nas operações de gestão de ativos, capitalização, corretagem de valores mobiliários, corretagem de seguros e planos de pensões. A Companhia possui diversas subsidiárias, como Santander Corretora de Cambio e Valores Mobiliarios SA, Banco Bandepe SA e Sancap Investimentos e Participações SA, entre outras.</v>
    <v>BVMF</v>
    <v>13.39</v>
    <v>55646</v>
    <v>45849.83680563594</v>
    <v>39</v>
    <v>94</v>
    <v>56480</v>
    <v>BRL</v>
    <v>Banco Santander (Brasil) S.A.</v>
    <v>Banco Santander (Brasil) S.A.</v>
    <v>13.44</v>
    <v>13.3</v>
    <v>Avenida Presidente Juscelino Kubitschek, n 2041 CJ 281, Bloco A, Vila Nova Conceicao, SAO PAULO, SAO PAULO, 04.543-011 BR</v>
    <v>Banking Services</v>
    <v>SANB3</v>
    <v>Ações</v>
    <v>Banco Santander (Brasil) S.A. (BVMF:SANB3)</v>
    <v>-0.09</v>
    <v>-6.7210000000000004E-3</v>
    <v>94600</v>
  </rv>
  <rv s="2">
    <v>95</v>
  </rv>
  <rv s="0">
    <v>https://www.bing.com/financeapi/forcetrigger?t=apm6pr&amp;q=BVMF%3aCARD3&amp;form=skydnc</v>
    <v>Learn more on Bing</v>
  </rv>
  <rv s="8">
    <v>pt-BR</v>
    <v>apm6pr</v>
    <v>268435456</v>
    <v>1</v>
    <v>Da plataforma Refinitiv</v>
    <v>14</v>
    <v>15</v>
    <v>CSU DIGITAL S.A. (BVMF:CSUD3)</v>
    <v>12</v>
    <v>17</v>
    <v>Finance</v>
    <v>5</v>
    <v>19.43</v>
    <v>13.46</v>
    <v>BVMF</v>
    <v>41800000</v>
    <v>18.850000000000001</v>
    <v>1997</v>
    <v>18.39</v>
    <v>0.91449999999999998</v>
    <v>B3 - Brazil Stock Exchange</v>
    <v>768702000</v>
    <v>A CSU Digital SA, anteriormente CSU CardSystem SA, é uma empresa de tecnologia brasileira para serviços financeiros, que fornece soluções digitais para pagamentos, bancos como serviço, programas de fidelidade e incentivo, além de experiência digital. A unidade CSU Pays engloba soluções em métodos de pagamento, fidelidade e incentivos, e Banking as a Service, incluindo processamento de cartões para emissores e adquirentes nas modalidades de crédito, débito, digital e virtual, oferta de carteiras digitais, pagamentos instantâneos (PIX) e criptomoedas, entre outros. A CSU DX concentra-se no desenvolvimento de soluções de experiência digital para a experiência do cliente e gestão de processos financeiros com alta densidade tecnológica e digital, direcionando esforços para projetos com maior valor agregado e complexidade.</v>
    <v>BVMF</v>
    <v>18.61</v>
    <v>6600</v>
    <v>45849.836806157029</v>
    <v>97</v>
    <v>38980</v>
    <v>BRL</v>
    <v>CSU DIGITAL S.A.</v>
    <v>CSU DIGITAL S.A.</v>
    <v>18.850000000000001</v>
    <v>18.39</v>
    <v>Rua Piaui 136, Nova Aldeinha, BARUERI, SAO PAULO, 06.440-182 BR</v>
    <v>Banking Services</v>
    <v>CSUD3</v>
    <v>Ações</v>
    <v>CSU DIGITAL S.A. (BVMF:CSUD3)</v>
    <v>-0.22</v>
    <v>-1.1821999999999999E-2</v>
    <v>17400</v>
  </rv>
  <rv s="2">
    <v>98</v>
  </rv>
  <rv s="0">
    <v>https://www.bing.com/financeapi/forcetrigger?t=c13h5r&amp;q=BVMF%3aBLAU3&amp;form=skydnc</v>
    <v>Learn more on Bing</v>
  </rv>
  <rv s="8">
    <v>pt-BR</v>
    <v>c13h5r</v>
    <v>268435456</v>
    <v>1</v>
    <v>Da plataforma Refinitiv</v>
    <v>14</v>
    <v>15</v>
    <v>Blau Farmacêutica S/A (BVMF:BLAU3)</v>
    <v>12</v>
    <v>17</v>
    <v>Finance</v>
    <v>5</v>
    <v>17.27</v>
    <v>9.76</v>
    <v>BVMF</v>
    <v>179393900</v>
    <v>13.22</v>
    <v>1987</v>
    <v>12.94</v>
    <v>1.008</v>
    <v>B3 - Brazil Stock Exchange</v>
    <v>2333915000</v>
    <v>A Blau Farmaceutica SA é uma empresa sediada no Brasil que atua no setor farmacêutico. A Companhia tem como foco o desenvolvimento, produção e comercialização de medicamentos, que visam o tratamento nas áreas de oncologia, nefrologia, hematologia e infectologia, entre outras. Suas linhas de produtos incluem biofármacos, biossimilares, oncológicos - injetáveis, oncológicos - orais, hemoderivados, antivirais e antirretrovirais, estimuladores uterinos, anestésicos, antitrombóticos, trombolíticos, saúde feminina, antibióticos, cefalosporina, cloranfenicol, inibidor de bombeamento ácido e outros produtos hospitalares. A Companhia atua no Brasil, Argentina, Colômbia, Peru, Uruguai, Chile e Estados Unidos, possuindo um complexo industrial farmacêutico composto por cinco plantas industriais, dedicadas à produção de medicamentos biológicos, biotecnológicos, oncológicos, antibióticos, anestésicos injetáveis e insumos biotecnológicos.</v>
    <v>BVMF</v>
    <v>13.24</v>
    <v>1900</v>
    <v>45849.838194455471</v>
    <v>100</v>
    <v>499170</v>
    <v>BRL</v>
    <v>Blau Farmacêutica S/A</v>
    <v>Blau Farmacêutica S/A</v>
    <v>13.03</v>
    <v>13.01</v>
    <v>Rodovia Raposo Tavares, 2833, km 30,5, Barro Branco, COTIA, SAO PAULO, 06.705-030 BR</v>
    <v>Pharmaceuticals</v>
    <v>BLAU3</v>
    <v>Ações</v>
    <v>Blau Farmacêutica S/A (BVMF:BLAU3)</v>
    <v>-0.23</v>
    <v>-1.7372000000000002E-2</v>
    <v>161600</v>
  </rv>
  <rv s="2">
    <v>101</v>
  </rv>
  <rv s="0">
    <v>https://www.bing.com/financeapi/forcetrigger?t=apmnjc&amp;q=BVMF%3aGGBR3&amp;form=skydnc</v>
    <v>Learn more on Bing</v>
  </rv>
  <rv s="8">
    <v>pt-BR</v>
    <v>apmnjc</v>
    <v>268435456</v>
    <v>1</v>
    <v>Da plataforma Refinitiv</v>
    <v>14</v>
    <v>15</v>
    <v>GERDAU S.A. (BVMF:GGBR3)</v>
    <v>12</v>
    <v>17</v>
    <v>Finance</v>
    <v>5</v>
    <v>19.93</v>
    <v>13.4</v>
    <v>BVMF</v>
    <v>2028195000</v>
    <v>15.2</v>
    <v>1961</v>
    <v>14.8</v>
    <v>0.63539999999999996</v>
    <v>B3 - Brazil Stock Exchange</v>
    <v>33029110000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15.2</v>
    <v>40061</v>
    <v>45849.829520428124</v>
    <v>103</v>
    <v>8534910</v>
    <v>BRL</v>
    <v>GERDAU S.A.</v>
    <v>GERDAU S.A.</v>
    <v>14.88</v>
    <v>14.94</v>
    <v>Avenida Doutora Ruth Cardoso, 8.501, 8 andar, Pinheiros, SAO PAULO, SAO PAULO, 05.425-070 BR</v>
    <v>Metals &amp; Mining</v>
    <v>GGBR3</v>
    <v>Ações</v>
    <v>GERDAU S.A. (BVMF:GGBR3)</v>
    <v>-0.26</v>
    <v>-1.7104999999999999E-2</v>
    <v>21800</v>
  </rv>
  <rv s="2">
    <v>104</v>
  </rv>
  <rv s="0">
    <v>https://www.bing.com/financeapi/forcetrigger?t=apmbm7&amp;q=BVMF%3aCRFB3&amp;form=skydnc</v>
    <v>Learn more on Bing</v>
  </rv>
  <rv s="8">
    <v>pt-BR</v>
    <v>apmbm7</v>
    <v>268435456</v>
    <v>1</v>
    <v>Da plataforma Refinitiv</v>
    <v>14</v>
    <v>15</v>
    <v>ATACADÃO S.A. (BVMF:CRFB3)</v>
    <v>12</v>
    <v>17</v>
    <v>Finance</v>
    <v>5</v>
    <v>10.92</v>
    <v>5.1100000000000003</v>
    <v>BVMF</v>
    <v>2109057000</v>
    <v>8.5399999999999991</v>
    <v>1980</v>
    <v>8.44</v>
    <v>1.3414999999999999</v>
    <v>B3 - Brazil Stock Exchange</v>
    <v>17884800000</v>
    <v>A Atacadão SA, também conhecido como Grupo Carrefour Brasil, é uma empresa com sede no Brasil que atua no setor de distribuição de alimentos. As atividades da Companhia estão divididas em três linhas de negócios: Atacado, Varejo e Soluções Financeiras. A área de Atacado concentra-se em lojas de autoatendimento e estabelecimentos de entrega, sob a marca Atacadao, para clientes atacadistas. O segmento de Varejo opera hipermercados, supermercados, lojas de conveniência, farmácias e postos de combustíveis, além da plataforma de e-commerce, com a marca Carrefour. Inclui também a Divisão de Imóveis, que administra o portfólio de imóveis e as áreas locáveis. A divisão Financial Solutions atua no mercado de seguros e oferece soluções de crédito ao consumidor por meio dos cartões Carrefour e Atacadão.</v>
    <v>BVMF</v>
    <v>8.4499999999999993</v>
    <v>95667</v>
    <v>45807.958333333336</v>
    <v>106</v>
    <v>3276280</v>
    <v>BRL</v>
    <v>ATACADÃO S.A.</v>
    <v>ATACADÃO S.A.</v>
    <v>8.4600000000000009</v>
    <v>8.48</v>
    <v>Avenida Morvan Dias de Figueiredo 6169, Vila Mariana, SAO PAULO, SAO PAULO, 02.170-901 BR</v>
    <v>Food &amp; Drug Retailing</v>
    <v>CRFB3</v>
    <v>Ações</v>
    <v>ATACADÃO S.A. (BVMF:CRFB3)</v>
    <v>0</v>
    <v>0</v>
    <v>14418400</v>
  </rv>
  <rv s="2">
    <v>107</v>
  </rv>
  <rv s="0">
    <v>https://www.bing.com/financeapi/forcetrigger?t=apnb5r&amp;q=BVMF%3aSAPR3&amp;form=skydnc</v>
    <v>Learn more on Bing</v>
  </rv>
  <rv s="8">
    <v>pt-BR</v>
    <v>apnb5r</v>
    <v>268435456</v>
    <v>1</v>
    <v>Da plataforma Refinitiv</v>
    <v>14</v>
    <v>15</v>
    <v>Companhia de Saneamento do Paraná - Sanepar (BVMF:SAPR3)</v>
    <v>12</v>
    <v>16</v>
    <v>Finance</v>
    <v>5</v>
    <v>8.0500000000000007</v>
    <v>4.6500000000000004</v>
    <v>BVMF</v>
    <v>1511206000</v>
    <v>7.93</v>
    <v>1963</v>
    <v>7.51</v>
    <v>0.61980000000000002</v>
    <v>B3 - Brazil Stock Exchange</v>
    <v>10976390000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7.59</v>
    <v>6047</v>
    <v>45850</v>
    <v>109</v>
    <v>1413380</v>
    <v>BRL</v>
    <v>Companhia de Saneamento do Paraná - Sanepar</v>
    <v>Companhia de Saneamento do Paraná - Sanepar</v>
    <v>7.59</v>
    <v>7.89</v>
    <v>Rua Engenheiros Reboucas, 1376, Reboucas, CURITIBA, PARANA, 80.215-900 BR</v>
    <v>Water Utilities</v>
    <v>SAPR3</v>
    <v>Ações</v>
    <v>Companhia de Saneamento do Paraná - Sanepar (BVMF:SAPR3)</v>
    <v>0.3</v>
    <v>3.9525999999999999E-2</v>
    <v>244500</v>
  </rv>
  <rv s="2">
    <v>110</v>
  </rv>
  <rv s="0">
    <v>https://www.bing.com/financeapi/forcetrigger?t=apltsm&amp;q=BVMF%3aABCB4&amp;form=skydnc</v>
    <v>Learn more on Bing</v>
  </rv>
  <rv s="8">
    <v>pt-BR</v>
    <v>apltsm</v>
    <v>268435456</v>
    <v>1</v>
    <v>Da plataforma Refinitiv</v>
    <v>14</v>
    <v>15</v>
    <v>Banco ABC Brasil S.A (BVMF:ABCB4)</v>
    <v>12</v>
    <v>17</v>
    <v>Finance</v>
    <v>5</v>
    <v>22.12</v>
    <v>17.850000000000001</v>
    <v>BVMF</v>
    <v>121695200</v>
    <v>21.19</v>
    <v>1983</v>
    <v>20.93</v>
    <v>0.92130000000000001</v>
    <v>B3 - Brazil Stock Exchange</v>
    <v>2553164000</v>
    <v>O Banco ABC Brasil S.A. é uma instituição brasileira que atua no setor bancário. Suas atividades comerciais se concentram na gestão de empréstimos e outras operações de crédito, serviços de depósito e contas correntes para grandes e médias empresas e clientes institucionais. Além disso, o Banco é responsável pela promoção de operações de mercado de capitais e outros serviços bancários. O portfólio de produtos e serviços do Banco inclui empréstimos em moeda local e em moeda estrangeira, vários tipos de garantias, financiamento de comércio internacional, operações com derivativos, financiamento de investimentos, bem como consultoria em fusões e aquisições (F&amp;A), entre outros. O Banco atua por meio de uma rede de filiais no Brasil e no exterior através de uma filial no exterior localizada nas Ilhas Cayman. Suas subsidiárias incluem a ABC Brasil Administração e Participações Ltda. e a ABC Brasil Distribuidora de Títulos e Valores Mobiliários S.A. O Banco é indiretamente controlado pela Arab Banking Corporation BSC.</v>
    <v>BVMF</v>
    <v>21.1</v>
    <v>441</v>
    <v>45849.837500046095</v>
    <v>112</v>
    <v>906290</v>
    <v>BRL</v>
    <v>Banco ABC Brasil S.A</v>
    <v>Banco ABC Brasil S.A</v>
    <v>21.11</v>
    <v>20.98</v>
    <v>Av. Cidade Jardim, 803 2 andar, Itaim Bibi, SAO PAULO, SAO PAULO, 01.453-000 BR</v>
    <v>Banking Services</v>
    <v>ABCB4</v>
    <v>Ações</v>
    <v>Banco ABC Brasil S.A (BVMF:ABCB4)</v>
    <v>-0.12</v>
    <v>-5.6870000000000002E-3</v>
    <v>527300</v>
  </rv>
  <rv s="2">
    <v>113</v>
  </rv>
  <rv s="0">
    <v>https://www.bing.com/financeapi/forcetrigger?t=apm5c7&amp;q=BVMF%3aBRSR6&amp;form=skydnc</v>
    <v>Learn more on Bing</v>
  </rv>
  <rv s="8">
    <v>pt-BR</v>
    <v>apm5c7</v>
    <v>268435456</v>
    <v>1</v>
    <v>Da plataforma Refinitiv</v>
    <v>14</v>
    <v>15</v>
    <v>BANCO DO ESTADO DO RIO GRANDE DO SUL S.A. (BVMF:BRSR6)</v>
    <v>12</v>
    <v>17</v>
    <v>Finance</v>
    <v>5</v>
    <v>12.8</v>
    <v>9.1199999999999992</v>
    <v>BVMF</v>
    <v>408974500</v>
    <v>11.24</v>
    <v>1928</v>
    <v>11.04</v>
    <v>1.0901000000000001</v>
    <v>B3 - Brazil Stock Exchange</v>
    <v>4689392000</v>
    <v>O Banco do Estado do Rio Grande do Sul S.A. é um banco comercial brasileiro que presta serviços bancários pessoais e corporativos. O Banrisul oferece uma variedade de produtos e serviços financeiros, como empréstimos pessoais e imobiliários, cartões de crédito e de débito, corretagem de títulos, gestão de portfólio, locação de veículos e equipamentos, serviços de investimento, apoio ao comércio internacional, e seguros de vida e patrimonial, entre outros.</v>
    <v>BVMF</v>
    <v>11.08</v>
    <v>9364</v>
    <v>45849.838194513279</v>
    <v>115</v>
    <v>931330</v>
    <v>BRL</v>
    <v>BANCO DO ESTADO DO RIO GRANDE DO SUL S.A.</v>
    <v>BANCO DO ESTADO DO RIO GRANDE DO SUL S.A.</v>
    <v>11.1</v>
    <v>11.18</v>
    <v>Rua Capitao Montanha, 177, Centro, PORTO ALEGRE, RIO GRANDE DO SUL, 90.018-900 BR</v>
    <v>Banking Services</v>
    <v>BRSR6</v>
    <v>Ações</v>
    <v>BANCO DO ESTADO DO RIO GRANDE DO SUL S.A. (BVMF:BRSR6)</v>
    <v>0.1</v>
    <v>9.025E-3</v>
    <v>757400</v>
  </rv>
  <rv s="2">
    <v>116</v>
  </rv>
  <rv s="0">
    <v>https://www.bing.com/financeapi/forcetrigger?t=c3uxhw&amp;q=BVMF%3aPORT3&amp;form=skydnc</v>
    <v>Learn more on Bing</v>
  </rv>
  <rv s="9">
    <v>pt-BR</v>
    <v>c3uxhw</v>
    <v>268435456</v>
    <v>1</v>
    <v>Da plataforma Refinitiv</v>
    <v>18</v>
    <v>19</v>
    <v>Wilson Sons S.A. (BVMF:PORT3)</v>
    <v>12</v>
    <v>27</v>
    <v>Finance</v>
    <v>5</v>
    <v>17.57</v>
    <v>14.35</v>
    <v>BVMF</v>
    <v>440977900</v>
    <v>17.510000000000002</v>
    <v>1971</v>
    <v>17.47</v>
    <v>1.0783</v>
    <v>B3 - Brazil Stock Exchange</v>
    <v>7717113250</v>
    <v>A Wilson Sons SA é uma operadora integrada de logística portuária e marítima com sede no Brasil. A Companhia tem cobertura nacional e oferece soluções completas que apoiam o comércio nacional e internacional, bem como a indústria de petróleo e gás. A gama de serviços da Companhia está dividida em seis segmentos operacionais, Terminais de Contentores, Agência de Remessa e Remessa, Bases de Apoio Offshore, Logística Internacional, Estaleiros e Navios de Apoio Offshore. A Willson Sons presta seus serviços a clientes como armadores, importadores e exportadores, indústria de petróleo e gás, projetos de energia renovável, setor do agronegócio, bem como outros atores em diferentes segmentos da economia. A Companhia possui diversas subsidiárias, incluindo Wilson Sons Estaleiros Ltda, Allink Transportes Internacionais Ltda e Wilport Operadores Portuarios Ltda.</v>
    <v>BVMF</v>
    <v>17.48</v>
    <v>45849.838194883596</v>
    <v>118</v>
    <v>925070</v>
    <v>BRL</v>
    <v>Wilson Sons S.A.</v>
    <v>Wilson Sons S.A.</v>
    <v>17.47</v>
    <v>17.5</v>
    <v>Praia de Botafogo 186, 4 andar, Botafogo, RIO DE JANEIRO, RIO DE JANEIRO, 22.250-145 BR</v>
    <v>Transport Infrastructure</v>
    <v>PORT3</v>
    <v>Ações</v>
    <v>Wilson Sons S.A. (BVMF:PORT3)</v>
    <v>0.02</v>
    <v>1.1440000000000001E-3</v>
    <v>2378100</v>
  </rv>
  <rv s="2">
    <v>119</v>
  </rv>
  <rv s="0">
    <v>https://www.bing.com/financeapi/forcetrigger?t=apn4rw&amp;q=BVMF%3aPINE4&amp;form=skydnc</v>
    <v>Learn more on Bing</v>
  </rv>
  <rv s="8">
    <v>pt-BR</v>
    <v>apn4rw</v>
    <v>268435456</v>
    <v>1</v>
    <v>Da plataforma Refinitiv</v>
    <v>14</v>
    <v>15</v>
    <v>Banco Pine S.A. (BVMF:PINE4)</v>
    <v>12</v>
    <v>17</v>
    <v>Finance</v>
    <v>5</v>
    <v>6.09</v>
    <v>3.64</v>
    <v>BVMF</v>
    <v>226739600</v>
    <v>6.07</v>
    <v>1997</v>
    <v>5.92</v>
    <v>1.2614000000000001</v>
    <v>B3 - Brazil Stock Exchange</v>
    <v>1370507000</v>
    <v>O BANCO PINE S.A. é um banco sediado no Brasil, que atua no fornecimento de produtos bancários comerciais. Especializa-se no fornecimento de serviços financeiros para empresas, como vários tipos de crédito, cartões de crédito, financiamento do comércio, garantias, banco de investimento, ativos e gestão de patrimônio, serviços de consultoria financeira, produtos de tesouraria e fundos de pensão, dentre outros. Em 31 de dezembro de 2011, a empresa tinha várias subsidiárias, inclusive a Pine Investimentos Distribuidora de Títulos e Valores Mobiliários Ltda. (Pine Investimentos), a BP Empreendimentos e Participações S.A. (BP Empreendimentos), a BP Promotora de Serviços Bancários Ltda. (BP Promotora), a Pine Corretora de Seguros Ltda. (Pine Corretora) e a Pine Assessoria e Consultoria Ltda. (Pine Assessoria).</v>
    <v>BVMF</v>
    <v>5.95</v>
    <v>393</v>
    <v>45849.838836075782</v>
    <v>121</v>
    <v>223470</v>
    <v>BRL</v>
    <v>Banco Pine S.A.</v>
    <v>Banco Pine S.A.</v>
    <v>5.95</v>
    <v>6.07</v>
    <v>Av. Presidente Juscelino Kubitschek, 1830- Salas 44, 54 e 64 4, 5 e 6 andares, Vila Nova Conceicao, SAO PAULO, SAO PAULO, 04.543-000 BR</v>
    <v>Banking Services</v>
    <v>PINE4</v>
    <v>Ações</v>
    <v>Banco Pine S.A. (BVMF:PINE4)</v>
    <v>0.12</v>
    <v>2.0167999999999998E-2</v>
    <v>104600</v>
  </rv>
  <rv s="2">
    <v>122</v>
  </rv>
  <rv s="0">
    <v>https://www.bing.com/financeapi/forcetrigger?t=apms4c&amp;q=BVMF%3aITSA3&amp;form=skydnc</v>
    <v>Learn more on Bing</v>
  </rv>
  <rv s="8">
    <v>pt-BR</v>
    <v>apms4c</v>
    <v>268435456</v>
    <v>1</v>
    <v>Da plataforma Refinitiv</v>
    <v>14</v>
    <v>15</v>
    <v>ITAÚSA S.A. (BVMF:ITSA3)</v>
    <v>12</v>
    <v>17</v>
    <v>Finance</v>
    <v>5</v>
    <v>11.34</v>
    <v>8.06</v>
    <v>BVMF</v>
    <v>10993810000</v>
    <v>10.71</v>
    <v>1966</v>
    <v>10.41</v>
    <v>1.1915</v>
    <v>B3 - Brazil Stock Exchange</v>
    <v>116173600000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10.6</v>
    <v>127000</v>
    <v>45849.90625</v>
    <v>124</v>
    <v>19179470</v>
    <v>BRL</v>
    <v>ITAÚSA S.A.</v>
    <v>ITAÚSA S.A.</v>
    <v>10.71</v>
    <v>10.5</v>
    <v>Avenida Paulista, 1938, 5 andar, Bela Vista, SAO PAULO, SAO PAULO, 01.310-200 BR</v>
    <v>Banking Services</v>
    <v>ITSA3</v>
    <v>Ações</v>
    <v>ITAÚSA S.A. (BVMF:ITSA3)</v>
    <v>-0.1</v>
    <v>-9.4339999999999997E-3</v>
    <v>84900</v>
  </rv>
  <rv s="2">
    <v>125</v>
  </rv>
  <rv s="0">
    <v>https://www.bing.com/financeapi/forcetrigger?t=apmx3m&amp;q=BVMF%3aMEAL3&amp;form=skydnc</v>
    <v>Learn more on Bing</v>
  </rv>
  <rv s="13">
    <v>pt-BR</v>
    <v>apmx3m</v>
    <v>268435456</v>
    <v>1</v>
    <v>Da plataforma Refinitiv</v>
    <v>28</v>
    <v>29</v>
    <v>International Meal Company Alimentação S.A. (BVMF:MEAL3)</v>
    <v>12</v>
    <v>30</v>
    <v>Finance</v>
    <v>5</v>
    <v>1.75</v>
    <v>0.91</v>
    <v>BVMF</v>
    <v>286676500</v>
    <v>1.29</v>
    <v>1.21</v>
    <v>2.1204000000000001</v>
    <v>B3 - Brazil Stock Exchange</v>
    <v>346878565</v>
    <v>A Alimentacao SA, anteriormente conhecida como RA Catering Ltda, é uma empresa brasileira que atua no setor de restaurantes de fast-food. A empresa está ativa na operação de restaurantes, bares e cafés em auto-estradas, aeroportos e centros comerciais. A empresa também fornece serviços de catering para as companhias aéreas. Tem operações na América Latina. A empresa opera lojas em centros comerciais sob as marcas Viena, Viena Express, Grano, Viena K Express, Viena Cafe, V Cafe e Viena Snacks, em rodovias sob a bandeira Frango Assado, e em aeroportos sob as marcas Aeromeals, Black Coffee, Brunella e Bistrot Mosaico, entre outros.</v>
    <v>BVMF</v>
    <v>1.24</v>
    <v>8427</v>
    <v>45849.912106481483</v>
    <v>127</v>
    <v>499400</v>
    <v>BRL</v>
    <v>International Meal Company Alimentação S.A.</v>
    <v>International Meal Company Alimentação S.A.</v>
    <v>1.24</v>
    <v>1.21</v>
    <v>Avenida Doutora Ruth Cardoso, 4777, 12 andar,conjunto A, Jd Univ. Pinheiros, SAO PAULO, SAO PAULO, 05.477-902 BR</v>
    <v>Hotels &amp; Entertainment Services</v>
    <v>MEAL3</v>
    <v>Ações</v>
    <v>International Meal Company Alimentação S.A. (BVMF:MEAL3)</v>
    <v>-0.03</v>
    <v>-2.4194E-2</v>
    <v>736400</v>
  </rv>
  <rv s="2">
    <v>128</v>
  </rv>
  <rv s="0">
    <v>https://www.bing.com/financeapi/forcetrigger?t=aplz4c&amp;q=BVMF%3aBBSE3&amp;form=skydnc</v>
    <v>Learn more on Bing</v>
  </rv>
  <rv s="8">
    <v>pt-BR</v>
    <v>aplz4c</v>
    <v>268435456</v>
    <v>1</v>
    <v>Da plataforma Refinitiv</v>
    <v>14</v>
    <v>15</v>
    <v>BB Seguridade Participações S.A. (BVMF:BBSE3)</v>
    <v>12</v>
    <v>17</v>
    <v>Finance</v>
    <v>5</v>
    <v>42.77</v>
    <v>30.1</v>
    <v>BVMF</v>
    <v>2000000000</v>
    <v>35.409999999999997</v>
    <v>2012</v>
    <v>35.01</v>
    <v>0.5474</v>
    <v>B3 - Brazil Stock Exchange</v>
    <v>70440000000</v>
    <v>A BB Seguridade Participações S.A. é uma empresa brasileira que atua no setor de seguros. As atividades da empresa se dividem em dois segmentos: Seguros e Corretagem. A divisão Seguros oferece seguros de vida, propriedade e acidentes, veículos, riscos especiais, financeiro e transporte, planos odontológicos, de previdência privada e de capitalização, bem como resseguro. A divisão Corretagem concentra-se na corretagem de seguros, gestão dos planos de previdência e capitalização, bem como na promoção de produtos de seguros e resseguros. Além disso, presta consultoria relacionada à seleção de seguros. As subsidiárias da empresa incluem a BB Seguros Participações S.A. e a BB Cor Participações S.A. A empresa é controlada pelo BANCO DO BRASIL S.A.</v>
    <v>BVMF</v>
    <v>35.299999999999997</v>
    <v>268</v>
    <v>45849.83873797422</v>
    <v>130</v>
    <v>4666900</v>
    <v>BRL</v>
    <v>BB Seguridade Participações S.A.</v>
    <v>BB Seguridade Participações S.A.</v>
    <v>35.299999999999997</v>
    <v>35.22</v>
    <v>SAUN, Quadra 05, Bloco B, 3 andar Edificio Banco do Br, Asa Norte, BRASILIA, DISTRITO FEDERAL, 70.040-912 BR</v>
    <v>Insurance</v>
    <v>BBSE3</v>
    <v>Ações</v>
    <v>BB Seguridade Participações S.A. (BVMF:BBSE3)</v>
    <v>-0.08</v>
    <v>-2.2659999999999998E-3</v>
    <v>2638400</v>
  </rv>
  <rv s="2">
    <v>131</v>
  </rv>
  <rv s="0">
    <v>https://www.bing.com/financeapi/forcetrigger?t=apmnxm&amp;q=BVMF%3aGOAU3&amp;form=skydnc</v>
    <v>Learn more on Bing</v>
  </rv>
  <rv s="8">
    <v>pt-BR</v>
    <v>apmnxm</v>
    <v>268435456</v>
    <v>1</v>
    <v>Da plataforma Refinitiv</v>
    <v>14</v>
    <v>15</v>
    <v>METALURGICA GERDAU S.A. (BVMF:GOAU3)</v>
    <v>12</v>
    <v>17</v>
    <v>Finance</v>
    <v>5</v>
    <v>11.82</v>
    <v>7.97</v>
    <v>BVMF</v>
    <v>993705800</v>
    <v>9.4600000000000009</v>
    <v>1901</v>
    <v>9.2899999999999991</v>
    <v>0.67800000000000005</v>
    <v>B3 - Brazil Stock Exchange</v>
    <v>9257687000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9.4600000000000009</v>
    <v>30000</v>
    <v>45849.833333344533</v>
    <v>133</v>
    <v>6018740</v>
    <v>BRL</v>
    <v>METALURGICA GERDAU S.A.</v>
    <v>METALURGICA GERDAU S.A.</v>
    <v>9.4600000000000009</v>
    <v>9.31</v>
    <v>Avenida Doutora Ruth Cardoso, 8.501,8 andar, Pinheiros, SAO PAULO, SAO PAULO, 05.425-070 BR</v>
    <v>Metals &amp; Mining</v>
    <v>GOAU3</v>
    <v>Ações</v>
    <v>METALURGICA GERDAU S.A. (BVMF:GOAU3)</v>
    <v>-0.15</v>
    <v>-1.5855999999999999E-2</v>
    <v>18300</v>
  </rv>
  <rv s="2">
    <v>134</v>
  </rv>
  <rv s="0">
    <v>https://www.bing.com/financeapi/forcetrigger?t=apmscw&amp;q=BVMF%3aITUB4&amp;form=skydnc</v>
    <v>Learn more on Bing</v>
  </rv>
  <rv s="8">
    <v>pt-BR</v>
    <v>apmscw</v>
    <v>268435456</v>
    <v>1</v>
    <v>Da plataforma Refinitiv</v>
    <v>14</v>
    <v>15</v>
    <v>Itaú Unibanco Holding S.A. (BVMF:ITUB4)</v>
    <v>12</v>
    <v>17</v>
    <v>Finance</v>
    <v>5</v>
    <v>38.229999999999997</v>
    <v>25.56</v>
    <v>BVMF</v>
    <v>10784550000</v>
    <v>35.200000000000003</v>
    <v>1943</v>
    <v>34.729999999999997</v>
    <v>1.2730999999999999</v>
    <v>B3 - Brazil Stock Exchange</v>
    <v>358702000000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35.25</v>
    <v>100600</v>
    <v>45849.83878101797</v>
    <v>136</v>
    <v>19034450</v>
    <v>BRL</v>
    <v>Itaú Unibanco Holding S.A.</v>
    <v>Itaú Unibanco Holding S.A.</v>
    <v>35.15</v>
    <v>34.96</v>
    <v>Praca Alfredo Egydio de Souza Aranha, 100, T. Olavo Setubal, Piso Itau Unibanco, Parque Jabaquara, SAO PAULO, SAO PAULO, 04.344-902 BR</v>
    <v>Banking Services</v>
    <v>ITUB4</v>
    <v>Ações</v>
    <v>Itaú Unibanco Holding S.A. (BVMF:ITUB4)</v>
    <v>-0.28999999999999998</v>
    <v>-8.2269999999999999E-3</v>
    <v>41864400</v>
  </rv>
  <rv s="2">
    <v>137</v>
  </rv>
  <rv s="0">
    <v>https://www.bing.com/financeapi/forcetrigger?t=apluur&amp;q=BVMF%3aAGRO3&amp;form=skydnc</v>
    <v>Learn more on Bing</v>
  </rv>
  <rv s="9">
    <v>pt-BR</v>
    <v>apluur</v>
    <v>268435456</v>
    <v>1</v>
    <v>Da plataforma Refinitiv</v>
    <v>18</v>
    <v>19</v>
    <v>Brasilagro - Companhia Brasileira de Propriedades Agrícolas (BVMF:AGRO3)</v>
    <v>12</v>
    <v>20</v>
    <v>Finance</v>
    <v>5</v>
    <v>26.67</v>
    <v>19.61</v>
    <v>BVMF</v>
    <v>102683400</v>
    <v>20.8</v>
    <v>2005</v>
    <v>20.48</v>
    <v>0.68959999999999999</v>
    <v>B3 - Brazil Stock Exchange</v>
    <v>2135816000</v>
    <v>BrasilAgro - Companhia Brasileira de Propriedades Agricolas é uma empresa brasileira. Seu core business consiste na aquisição, desenvolvimento, operação e venda de propriedades rurais adequadas para atividades agrícolas. As atividades da Companhia são realizadas por meio de um segmento operacional: Comercialização de imóveis, por meio de compra, venda ou locação, e produção e comercialização de produtos agrícolas. BrasilAgro é produtora de grãos, algodão, cana-de-açúcar e pecuária. A Companhia gerencia ativamente suas operações, combinando os retornos gerados pelas propriedades e operações da BrasilAgro, enquanto mitiga os riscos climáticos e agrícolas por meio da diversificação geográfica e da obtenção de altos rendimentos nas propriedades rurais.</v>
    <v>BVMF</v>
    <v>20.64</v>
    <v>45850</v>
    <v>139</v>
    <v>159720</v>
    <v>BRL</v>
    <v>Brasilagro - Companhia Brasileira de Propriedades Agrícolas</v>
    <v>Brasilagro - Companhia Brasileira de Propriedades Agrícolas</v>
    <v>20.64</v>
    <v>20.8</v>
    <v>Avenida Reboucas, n. 2.984, Conj, 61 e 62 6 andar, Pinheiros, SAO PAULO, SAO PAULO, 05.402-500 BR</v>
    <v>Food &amp; Tobacco</v>
    <v>AGRO3</v>
    <v>Ações</v>
    <v>Brasilagro - Companhia Brasileira de Propriedades Agrícolas (BVMF:AGRO3)</v>
    <v>0.16</v>
    <v>7.7520000000000002E-3</v>
    <v>104500</v>
  </rv>
  <rv s="2">
    <v>140</v>
  </rv>
  <rv s="0">
    <v>https://www.bing.com/financeapi/forcetrigger?t=bskymw&amp;q=BVMF%3aBMGB4&amp;form=skydnc</v>
    <v>Learn more on Bing</v>
  </rv>
  <rv s="14">
    <v>pt-BR</v>
    <v>bskymw</v>
    <v>268435456</v>
    <v>1</v>
    <v>Da plataforma Refinitiv</v>
    <v>31</v>
    <v>32</v>
    <v>BANCO BMG S.A. (BVMF:BMGB4)</v>
    <v>12</v>
    <v>33</v>
    <v>Finance</v>
    <v>5</v>
    <v>4.3099999999999996</v>
    <v>3.06</v>
    <v>BVMF</v>
    <v>210536200</v>
    <v>3.67</v>
    <v>3.62</v>
    <v>1.2499</v>
    <v>B3 - Brazil Stock Exchange</v>
    <v>766351768</v>
    <v>O Banco BMG SA é uma instituição financeira sediada no Brasil. Ele fornece aos clientes uma variedade de produtos e serviços. Sua oferta de varejo inclui cartão de crédito consignado, empréstimo direto por dívida, exclusivo para aposentados e pensionistas da previdência social e pensionistas e servidores públicos, crédito digital pessoal e seguro de varejo por meio de uma parceria. Para clientes corporativos, o Banco oferece serviços financeiros estruturados, instrumentos derivativos e seguros de garantia para empresas de médio e grande porte. Também fornece produtos de investimento de renda fixa para todos os clientes. Opera através de um número diversificado de canais de vendas, tanto físicos quanto digitais, como banco digital, agências bancárias, correspondentes bancários, entre outros.</v>
    <v>BVMF</v>
    <v>3.66</v>
    <v>45849.837500080466</v>
    <v>142</v>
    <v>412250</v>
    <v>BRL</v>
    <v>BANCO BMG S.A.</v>
    <v>BANCO BMG S.A.</v>
    <v>3.66</v>
    <v>3.64</v>
    <v>Avenida Presidente Juscelino Kubitschek, N 1830, 10, 11, 13 E 14 Andares - Parte Cond Ed S Luiz, Vila Nova Conceicao, SAO PAULO, SAO PAULO, 04.543-000 BR</v>
    <v>Banking Services</v>
    <v>BMGB4</v>
    <v>Ações</v>
    <v>BANCO BMG S.A. (BVMF:BMGB4)</v>
    <v>-0.02</v>
    <v>-5.4640000000000001E-3</v>
    <v>340800</v>
  </rv>
  <rv s="2">
    <v>143</v>
  </rv>
  <rv s="0">
    <v>https://www.bing.com/financeapi/forcetrigger?t=c2yyw7&amp;q=BVMF%3aLAND3&amp;form=skydnc</v>
    <v>Learn more on Bing</v>
  </rv>
  <rv s="9">
    <v>pt-BR</v>
    <v>c2yyw7</v>
    <v>268435456</v>
    <v>1</v>
    <v>Da plataforma Refinitiv</v>
    <v>18</v>
    <v>19</v>
    <v>Terra Santa Propriedades Agrícolas S.A. (BVMF:LAND3)</v>
    <v>12</v>
    <v>27</v>
    <v>Finance</v>
    <v>5</v>
    <v>15.91</v>
    <v>9.57</v>
    <v>BVMF</v>
    <v>96226960</v>
    <v>10.15</v>
    <v>2021</v>
    <v>9.7899999999999991</v>
    <v>-0.37990000000000002</v>
    <v>B3 - Brazil Stock Exchange</v>
    <v>975741374</v>
    <v>A Terra Santa Propriedades Agrícolas SA, anteriormente conhecida como TS Agro SA, é uma empresa sediada no Brasil focada na aquisição, administração e arrendamento de propriedades em áreas rurais. A Companhia possui um grande número de propriedades agrícolas destinadas a lavouras e pastagens, além de arrendar seu portfólio de terras para terceiros, geralmente a longo prazo, por no mínimo três anos. A Terra Santa Propriedades Agrícolas possui uma licença de operação que a permite administrar a Fazenda Terra Santa e a Fazenda Iporanga. A Companhia possui sete fazendas localizadas em diferentes municípios do Mato Grosso. A Terra Santa Propriedades Agrícolas SA possui diversas subsidiárias, incluindo a TS Brasil SA, Fazenda São José SA, Fazenda Iporanga SA e a Fazenda Boa Vista SA.</v>
    <v>BVMF</v>
    <v>9.92</v>
    <v>45849.836806145315</v>
    <v>145</v>
    <v>30230</v>
    <v>BRL</v>
    <v>Terra Santa Propriedades Agrícolas S.A.</v>
    <v>Terra Santa Propriedades Agrícolas S.A.</v>
    <v>9.7899999999999991</v>
    <v>10.14</v>
    <v>Praca General Gentil Falcao, 108, 8o andar Cj. 81, Sala 4, Cidade Moncoes, SAO PAULO, SAO PAULO, 04.571-150 BR</v>
    <v>Real Estate Operations</v>
    <v>LAND3</v>
    <v>Ações</v>
    <v>Terra Santa Propriedades Agrícolas S.A. (BVMF:LAND3)</v>
    <v>0.22</v>
    <v>2.2176999999999999E-2</v>
    <v>15600</v>
  </rv>
  <rv s="2">
    <v>146</v>
  </rv>
  <rv s="0">
    <v>https://www.bing.com/financeapi/forcetrigger?t=apmnm7&amp;q=BVMF%3aGGBR4&amp;form=skydnc</v>
    <v>Learn more on Bing</v>
  </rv>
  <rv s="8">
    <v>pt-BR</v>
    <v>apmnm7</v>
    <v>268435456</v>
    <v>1</v>
    <v>Da plataforma Refinitiv</v>
    <v>14</v>
    <v>15</v>
    <v>GERDAU S.A. (BVMF:GGBR4)</v>
    <v>12</v>
    <v>17</v>
    <v>Finance</v>
    <v>5</v>
    <v>21</v>
    <v>13.63</v>
    <v>BVMF</v>
    <v>2028195000</v>
    <v>16.84</v>
    <v>1961</v>
    <v>16.46</v>
    <v>0.63539999999999996</v>
    <v>B3 - Brazil Stock Exchange</v>
    <v>33029110000</v>
    <v>A Gerdau SA é uma fabricante brasileira de produtos siderúrgicos. A empresa está envolvida na produção e comercialização de produtos siderúrgicos em geral, através de suas Usinas localizadas na Argentina, Brasil, Canadá, Colômbia, Estados Unidos, América, e outras. México, Peru, República Dominicana, Uruguai e Venezuela. O portfólio de produtos da empresa inclui aço bruto; produtos acabados para a indústria da construção civil, como vergalhões, barras de arame, formas estruturais, bobinas laminadas a quente e placas pesadas; produtos industriais acabados, como barras de aço laminadas comerciais, perfis leves e fios; produtos agrícolas, como estacas, arame liso e arame farpado; e itens de aço especiais. As atividades da Companhia incluem também operações de minas de minério de ferro localizadas no estado de Minas Gerais.</v>
    <v>BVMF</v>
    <v>16.88</v>
    <v>40061</v>
    <v>45849.838563796096</v>
    <v>148</v>
    <v>8534910</v>
    <v>BRL</v>
    <v>GERDAU S.A.</v>
    <v>GERDAU S.A.</v>
    <v>16.760000000000002</v>
    <v>16.690000000000001</v>
    <v>Avenida Doutora Ruth Cardoso, 8.501, 8 andar, Pinheiros, SAO PAULO, SAO PAULO, 05.425-070 BR</v>
    <v>Metals &amp; Mining</v>
    <v>GGBR4</v>
    <v>Ações</v>
    <v>GERDAU S.A. (BVMF:GGBR4)</v>
    <v>-0.19</v>
    <v>-1.1255999999999999E-2</v>
    <v>11692100</v>
  </rv>
  <rv s="2">
    <v>149</v>
  </rv>
  <rv s="0">
    <v>https://www.bing.com/financeapi/forcetrigger?t=apms77&amp;q=BVMF%3aITSA4&amp;form=skydnc</v>
    <v>Learn more on Bing</v>
  </rv>
  <rv s="8">
    <v>pt-BR</v>
    <v>apms77</v>
    <v>268435456</v>
    <v>1</v>
    <v>Da plataforma Refinitiv</v>
    <v>14</v>
    <v>15</v>
    <v>ITAÚSA S.A. (BVMF:ITSA4)</v>
    <v>12</v>
    <v>17</v>
    <v>Finance</v>
    <v>5</v>
    <v>11.34</v>
    <v>7.86</v>
    <v>BVMF</v>
    <v>10993810000</v>
    <v>10.52</v>
    <v>1966</v>
    <v>10.37</v>
    <v>1.1915</v>
    <v>B3 - Brazil Stock Exchange</v>
    <v>116173600000</v>
    <v>A Itausa SA, anteriormente a Itausa Investimentos, é uma holding de investimentos sediada no Brasil que atua através de suas subsidiárias. As atividades do Grupo estão divididas em dois setores: Financeiro e não financeiro. O setor financeiro inclui o Itau Unibanco, que fornece uma ampla gama de serviços e produtos bancários e não bancários a uma base de clientes diversificada, em três segmentos de negócios: Varejo, Negócios por Atacado e Atividades com o Mercado e Corporação. O setor não financeiro inclui a Aegea, prestadora de serviços de saneamento básico de utilidade pública, bem como a Dexco, que atua em duas áreas de negócio: Madeira e Acabamentos de Construção. A Itausa SA opera em mais de 50 países.</v>
    <v>BVMF</v>
    <v>10.55</v>
    <v>127000</v>
    <v>45849.838792696093</v>
    <v>151</v>
    <v>19179470</v>
    <v>BRL</v>
    <v>ITAÚSA S.A.</v>
    <v>ITAÚSA S.A.</v>
    <v>10.51</v>
    <v>10.48</v>
    <v>Avenida Paulista, 1938, 5 andar, Bela Vista, SAO PAULO, SAO PAULO, 01.310-200 BR</v>
    <v>Banking Services</v>
    <v>ITSA4</v>
    <v>Ações</v>
    <v>ITAÚSA S.A. (BVMF:ITSA4)</v>
    <v>-7.0000000000000007E-2</v>
    <v>-6.6349999999999994E-3</v>
    <v>30789300</v>
  </rv>
  <rv s="2">
    <v>152</v>
  </rv>
  <rv s="0">
    <v>https://www.bing.com/financeapi/forcetrigger?t=az65xm&amp;q=BVMF%3aSMFT3&amp;form=skydnc</v>
    <v>Learn more on Bing</v>
  </rv>
  <rv s="8">
    <v>pt-BR</v>
    <v>az65xm</v>
    <v>268435456</v>
    <v>1</v>
    <v>Da plataforma Refinitiv</v>
    <v>14</v>
    <v>15</v>
    <v>Smartfit Escola de Ginástica e Dança S.A. (BVMF:SMFT3)</v>
    <v>12</v>
    <v>16</v>
    <v>Finance</v>
    <v>5</v>
    <v>25.32</v>
    <v>16.329999999999998</v>
    <v>BVMF</v>
    <v>597250100</v>
    <v>22.73</v>
    <v>2005</v>
    <v>22.16</v>
    <v>2.1052</v>
    <v>B3 - Brazil Stock Exchange</v>
    <v>13575490000</v>
    <v>A Smartfit Escola de Ginástica e Danca SA é uma empresa brasileira envolvida no setor de fitness. A empresa administra, opera e mantém uma rede de fitness com sede no Brasil, bem como no Peru, México, Colômbia, Chile, Argentina, México, México, Colômbia, México, México, Colômbia, Chile, Argentina e México. Paraguai, Equador, Guatemala, Panamá e República Dominicana. A empresa oferece uma variedade de equipamentos, incluindo máquinas de remo, esteiras e equipamentos de musculação. Além disso, oferece diferentes serviços entre os quais estão uma variedade de aulas, como aulas de dança, ioga e treinamento em grupo. As atividades da empresa são divididas em três linhas de negócios: Alto Valor/Baixo Preço, que inclui academias sob a marca Smart Fit; Premium, que opera academias sob as marcas Bio Ritmo e O2; e Outros/Novos Negócios, que compreende royalties cobrados a franqueados e novos modelos e marcas de fitness que a empresa está desenvolvendo.</v>
    <v>BVMF</v>
    <v>22.73</v>
    <v>3838</v>
    <v>45850</v>
    <v>154</v>
    <v>4134990</v>
    <v>BRL</v>
    <v>Smartfit Escola de Ginástica e Dança S.A.</v>
    <v>Smartfit Escola de Ginástica e Dança S.A.</v>
    <v>22.41</v>
    <v>22.71</v>
    <v>Avenida Paulista, n.1294, 2 andar, Bela Vista,, SAO PAULO, SAO PAULO, 01.310-100 BR</v>
    <v>Hotels &amp; Entertainment Services</v>
    <v>SMFT3</v>
    <v>Ações</v>
    <v>Smartfit Escola de Ginástica e Dança S.A. (BVMF:SMFT3)</v>
    <v>-0.02</v>
    <v>-8.7989999999999997E-4</v>
    <v>3920700</v>
  </rv>
  <rv s="2">
    <v>155</v>
  </rv>
  <rv s="0">
    <v>https://www.bing.com/financeapi/forcetrigger?t=apmlc7&amp;q=BVMF%3aFLRY3&amp;form=skydnc</v>
    <v>Learn more on Bing</v>
  </rv>
  <rv s="8">
    <v>pt-BR</v>
    <v>apmlc7</v>
    <v>268435456</v>
    <v>1</v>
    <v>Da plataforma Refinitiv</v>
    <v>14</v>
    <v>15</v>
    <v>Fleury S.A. (BVMF:FLRY3)</v>
    <v>12</v>
    <v>17</v>
    <v>Finance</v>
    <v>5</v>
    <v>15.93</v>
    <v>10.62</v>
    <v>BVMF</v>
    <v>547191000</v>
    <v>12.74</v>
    <v>1964</v>
    <v>12.48</v>
    <v>0.63529999999999998</v>
    <v>B3 - Brazil Stock Exchange</v>
    <v>6905550420</v>
    <v>A Fleury SA é uma empresa sediada no Brasil que presta serviços de laboratório médico. As atividades da Companhia estão divididas em três linhas de negócios: Centros de Atendimento ao Paciente (PSC), B2B e Diagnóstico Odontológico. A divisão PCS oferece diagnóstico médico privado. A divisão B2B é responsável pela análise clínica e diagnóstico por imagem em hospitais parceiros, além de testes para laboratórios, hospitais e clínicas em todo o Brasil. A divisão de Diagnóstico Odontológico fornece imagens de diagnóstico odontológico por meio da Papaiz Associados Diagnosticos por Imagem SA, uma joint venture com a Odontoprev SA. A Companhia opera através de várias marcas, como Fleury Medicina e Saúde, Clínica Felippe Mattoso e Weinmann, a + Medicina Diagnóstica, Diagnoson a +, Diagmax e Inlab, entre outras.</v>
    <v>BVMF</v>
    <v>12.7</v>
    <v>27500</v>
    <v>45849.838881376563</v>
    <v>157</v>
    <v>2338660</v>
    <v>BRL</v>
    <v>Fleury S.A.</v>
    <v>Fleury S.A.</v>
    <v>12.68</v>
    <v>12.62</v>
    <v>Av. General Valdomiro de Lima, 508, Jabaquara, SAO PAULO, SAO PAULO, 04.344-070 BR</v>
    <v>Healthcare Providers &amp; Services</v>
    <v>FLRY3</v>
    <v>Ações</v>
    <v>Fleury S.A. (BVMF:FLRY3)</v>
    <v>-0.08</v>
    <v>-6.2989999999999999E-3</v>
    <v>2965300</v>
  </rv>
  <rv s="2">
    <v>158</v>
  </rv>
  <rv s="0">
    <v>https://www.bing.com/financeapi/forcetrigger?t=apna3m&amp;q=BVMF%3aROMI3&amp;form=skydnc</v>
    <v>Learn more on Bing</v>
  </rv>
  <rv s="8">
    <v>pt-BR</v>
    <v>apna3m</v>
    <v>268435456</v>
    <v>1</v>
    <v>Da plataforma Refinitiv</v>
    <v>14</v>
    <v>15</v>
    <v>ROMI S.A. (BVMF:ROMI3)</v>
    <v>12</v>
    <v>16</v>
    <v>Finance</v>
    <v>5</v>
    <v>10.82</v>
    <v>7.67</v>
    <v>BVMF</v>
    <v>93170750</v>
    <v>8.98</v>
    <v>1938</v>
    <v>8.8699999999999992</v>
    <v>0.61219999999999997</v>
    <v>B3 - Brazil Stock Exchange</v>
    <v>834809920</v>
    <v>A Romi SA, anteriormente Industrias Romi SA, é uma fabricante brasileira de máquinas-ferramentas e equipamentos de processamento de plástico. As operações da empresa são organizadas em três unidades de negócio: Máquinas ROMI, que compreende linhas de Máquinas-Ferramentas e Máquinas para Processamento de Plástico; a unidade de Máquinas Burkhardt Weber, que inclui centros de usinagem horizontais e máquinas para aplicações especiais, bem como a unidade de Castings e Peças usinadas, capaz de produzir aproximadamente 50 000 toneladas/ano de peças de ferro cinza, nodular ou vermicular. A empresa fornece indústrias como fabricação de componentes automotivos, bens de consumo, máquinas e implementos agrícolas, educação, máquinas e equipamentos industriais. A Romi SA exporta seus produtos para todos os continentes.</v>
    <v>BVMF</v>
    <v>8.9</v>
    <v>2806</v>
    <v>45850</v>
    <v>160</v>
    <v>93130</v>
    <v>BRL</v>
    <v>ROMI S.A.</v>
    <v>ROMI S.A.</v>
    <v>8.91</v>
    <v>8.9600000000000009</v>
    <v>Rodovia Luis de Queiroz (SP 304), s/n, KM 141,5, Dist. Industrial Sul, SANTA BARBARA D'OESTE, SAO PAULO, 13.459-057 BR</v>
    <v>Machinery, Equipment &amp; Components</v>
    <v>ROMI3</v>
    <v>Ações</v>
    <v>ROMI S.A. (BVMF:ROMI3)</v>
    <v>0.06</v>
    <v>6.7420000000000006E-3</v>
    <v>41600</v>
  </rv>
  <rv s="2">
    <v>161</v>
  </rv>
  <rv s="0">
    <v>https://www.bing.com/financeapi/forcetrigger?t=apnew7&amp;q=BVMF%3aTAEE4&amp;form=skydnc</v>
    <v>Learn more on Bing</v>
  </rv>
  <rv s="8">
    <v>pt-BR</v>
    <v>apnew7</v>
    <v>268435456</v>
    <v>1</v>
    <v>Da plataforma Refinitiv</v>
    <v>14</v>
    <v>15</v>
    <v>Transmissora Aliança de Energia Elétrica S/A (BVMF:TAEE4)</v>
    <v>12</v>
    <v>16</v>
    <v>Finance</v>
    <v>5</v>
    <v>12.24</v>
    <v>10.24</v>
    <v>BVMF</v>
    <v>344498900</v>
    <v>11.44</v>
    <v>2006</v>
    <v>11.31</v>
    <v>0.70609999999999995</v>
    <v>B3 - Brazil Stock Exchange</v>
    <v>11712960000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11.44</v>
    <v>854</v>
    <v>45850</v>
    <v>163</v>
    <v>1181520</v>
    <v>BRL</v>
    <v>Transmissora Aliança de Energia Elétrica S/A</v>
    <v>Transmissora Aliança de Energia Elétrica S/A</v>
    <v>11.44</v>
    <v>11.36</v>
    <v>Av. das Americas, 2480 Bloco 6, Barra da Tijuca, RIO DE JANEIRO, RIO DE JANEIRO, 22.640-101 BR</v>
    <v>Electrical Utilities &amp; IPPs</v>
    <v>TAEE4</v>
    <v>Ações</v>
    <v>Transmissora Aliança de Energia Elétrica S/A (BVMF:TAEE4)</v>
    <v>-0.08</v>
    <v>-6.9930000000000001E-3</v>
    <v>143700</v>
  </rv>
  <rv s="2">
    <v>164</v>
  </rv>
  <rv s="0">
    <v>https://www.bing.com/financeapi/forcetrigger?t=apn827&amp;q=BVMF%3aRAIL3&amp;form=skydnc</v>
    <v>Learn more on Bing</v>
  </rv>
  <rv s="8">
    <v>pt-BR</v>
    <v>apn827</v>
    <v>268435456</v>
    <v>1</v>
    <v>Da plataforma Refinitiv</v>
    <v>14</v>
    <v>15</v>
    <v>RUMO S.A. (BVMF:RAIL3)</v>
    <v>12</v>
    <v>16</v>
    <v>Finance</v>
    <v>5</v>
    <v>23.38</v>
    <v>15.29</v>
    <v>BVMF</v>
    <v>1854869000</v>
    <v>17.190000000000001</v>
    <v>1997</v>
    <v>16.87</v>
    <v>0.78210000000000002</v>
    <v>B3 - Brazil Stock Exchange</v>
    <v>31755357280</v>
    <v>A Rumo SA é uma empresa sediada no Brasil que atua principalmente no setor de transporte de cargas. Por meio de suas subsidiárias, a Companhia atua no segmento de transporte ferroviário nas regiões Sul e Centro-Oeste do Brasil, com rede ferroviária composta por cinco concessões com aproximadamente 13.500 km de trilhos. A Rumo SA gerencia também terminais de transbordo localizados nos estados de Mato Grosso, São Paulo, Paraná e Rio Grande do Sul, bem como a elevação de portos no terminal de Porto de Santos. Além disso, por meio da Brado Logística e Participações SA, atua nas operações de contêineres. A Companhia oferece transporte de commodities agrícolas, combustíveis e bens finais, transporte intermodal de mercadorias, serviços integrados de armazenagem, operações portuárias e movimentação de mercadorias, entre outros.</v>
    <v>BVMF</v>
    <v>17.18</v>
    <v>8602</v>
    <v>45850</v>
    <v>166</v>
    <v>8592020</v>
    <v>BRL</v>
    <v>RUMO S.A.</v>
    <v>RUMO S.A.</v>
    <v>17.13</v>
    <v>17.12</v>
    <v>Rua Emilio Bertolini, 100 - Cajuru, CURITIBA, PARANA, 82.920-030 BR</v>
    <v>Freight &amp; Logistics Services</v>
    <v>RAIL3</v>
    <v>Ações</v>
    <v>RUMO S.A. (BVMF:RAIL3)</v>
    <v>-0.06</v>
    <v>-3.4920000000000003E-3</v>
    <v>9341200</v>
  </rv>
  <rv s="2">
    <v>167</v>
  </rv>
  <rv s="0">
    <v>https://www.bing.com/financeapi/forcetrigger?t=apmeec&amp;q=BVMF%3aCYRE3&amp;form=skydnc</v>
    <v>Learn more on Bing</v>
  </rv>
  <rv s="9">
    <v>pt-BR</v>
    <v>apmeec</v>
    <v>268435456</v>
    <v>1</v>
    <v>Da plataforma Refinitiv</v>
    <v>18</v>
    <v>19</v>
    <v>Cyrela Brazil Realty S.A. Empreendimentos e Participações (BVMF:CYRE3)</v>
    <v>12</v>
    <v>27</v>
    <v>Finance</v>
    <v>5</v>
    <v>26.97</v>
    <v>15.44</v>
    <v>BVMF</v>
    <v>384000000</v>
    <v>26.01</v>
    <v>1993</v>
    <v>25.31</v>
    <v>1.6572</v>
    <v>B3 - Brazil Stock Exchange</v>
    <v>9830400000</v>
    <v>A Cyrela Brazil Realty S.A. Empreendimentos e Participações, anteriormente denominada Cyrela Brasil Realty SA Empreendimentos e Participações, é uma empresa brasileira envolvida no setor imobiliário. A Empresa está envolvida principalmente na construção, incorporação, corretagem e venda de imóveis residenciais. Além disso, ela fornece serviços de desmembramento de terrenos e serviços complementares para seus clientes. Em 31 de dezembro de 2011, a Empresa possuía diversas subsidiárias, incluindo a ABC Realty de Investimento Imobiliário Ltda., a Andorra Empreendimentos Imobiliários Ltda., a BR-Serviços e Investimentos Ltda.-Bahamas, a Barão de Miracema Empreendimentos Imobiliários Ltda., a Boa Vista Empreendimentos Imobiliários Spe Ltda., a Bretanha Empreendimentos Imobiliários Ltda. e a Cabo Frio Empreendimentos Imobiliários Ltda., entre outras.</v>
    <v>BVMF</v>
    <v>25.39</v>
    <v>45849.83887765</v>
    <v>169</v>
    <v>4315780</v>
    <v>BRL</v>
    <v>Cyrela Brazil Realty S.A. Empreendimentos e Participações</v>
    <v>Cyrela Brazil Realty S.A. Empreendimentos e Participações</v>
    <v>25.4</v>
    <v>25.6</v>
    <v>Rua do Rocio,109, 2 andar Sala01 Parte, Vila Olimpia, SAO PAULO, SAO PAULO, 04.552-000 BR</v>
    <v>Real Estate Operations</v>
    <v>CYRE3</v>
    <v>Ações</v>
    <v>Cyrela Brazil Realty S.A. Empreendimentos e Participações (BVMF:CYRE3)</v>
    <v>0.21</v>
    <v>8.2709999999999988E-3</v>
    <v>6465100</v>
  </rv>
  <rv s="2">
    <v>170</v>
  </rv>
  <rv s="0">
    <v>https://www.bing.com/financeapi/forcetrigger?t=c1s56h&amp;q=BVMF%3aCXSE3&amp;form=skydnc</v>
    <v>Learn more on Bing</v>
  </rv>
  <rv s="8">
    <v>pt-BR</v>
    <v>c1s56h</v>
    <v>268435456</v>
    <v>1</v>
    <v>Da plataforma Refinitiv</v>
    <v>14</v>
    <v>15</v>
    <v>Caixa Seguridade Participações S.A (BVMF:CXSE3)</v>
    <v>12</v>
    <v>17</v>
    <v>Finance</v>
    <v>5</v>
    <v>16.5</v>
    <v>12.67</v>
    <v>BVMF</v>
    <v>3000000000</v>
    <v>14.67</v>
    <v>2015</v>
    <v>14.4</v>
    <v>0.94879999999999998</v>
    <v>B3 - Brazil Stock Exchange</v>
    <v>43200000000</v>
    <v>A Caixa Seguridade Participações SA é uma holding brasileira que consolida os investimentos DA Caixa em empresas nos setores de seguros, pensões privadas, capitalização, consórcio, assistência, etc. e os setores de corretagem de seguros e atua principalmente através do sistema de bancassurance na rede de distribuição DA CAIXA. A Companhia tem o direito exclusivo de acessar a base de clientes DA CAIXA e explorar economicamente a MARCA CAIXA e sua rede de agências próprias, concessionárias de loteria, correspondentes bancários, internet banking, caixas eletrônicos e outros canais de distribuição. A Companhia é controlada pela Caixa Econômica Federal.</v>
    <v>BVMF</v>
    <v>14.57</v>
    <v>135</v>
    <v>45849.838736585159</v>
    <v>172</v>
    <v>3873210</v>
    <v>BRL</v>
    <v>Caixa Seguridade Participações S.A</v>
    <v>Caixa Seguridade Participações S.A</v>
    <v>14.59</v>
    <v>14.4</v>
    <v>SAUS Quadra 3 Bloco E, 3 andar, Asa Sul, BRASILIA, DISTRITO FEDERAL, 70.070-030 BR</v>
    <v>Insurance</v>
    <v>CXSE3</v>
    <v>Ações</v>
    <v>Caixa Seguridade Participações S.A (BVMF:CXSE3)</v>
    <v>-0.17</v>
    <v>-1.1668000000000001E-2</v>
    <v>2969600</v>
  </rv>
  <rv s="2">
    <v>173</v>
  </rv>
  <rv s="0">
    <v>https://www.bing.com/financeapi/forcetrigger?t=c1rkkr&amp;q=BVMF%3aALLD3&amp;form=skydnc</v>
    <v>Learn more on Bing</v>
  </rv>
  <rv s="9">
    <v>pt-BR</v>
    <v>c1rkkr</v>
    <v>268435456</v>
    <v>1</v>
    <v>Da plataforma Refinitiv</v>
    <v>18</v>
    <v>19</v>
    <v>Allied Tecnologia S.A. (BVMF:ALLD3)</v>
    <v>12</v>
    <v>27</v>
    <v>Finance</v>
    <v>5</v>
    <v>7.9</v>
    <v>6.17</v>
    <v>BVMF</v>
    <v>94507240</v>
    <v>6.98</v>
    <v>2014</v>
    <v>6.86</v>
    <v>1.2201</v>
    <v>B3 - Brazil Stock Exchange</v>
    <v>658715500</v>
    <v>A Allied Tecnologia SA é uma empresa brasileira envolvida no negócio de eletrônicos de consumo. A empresa opera através de 3 canais de vendas: Varejo físico, varejo digital e distribuição. A empresa vende um portfólio de produtos eletrônicos de consumo, representando marcas como Apple, HP, Samsung, Motorola, Microsoft, Lenovo, entre outros, em mais de 10 categorias de produtos. A empresa também oferece uma variedade de serviços complementares, incluindo seguros de telefonia móvel, planos de operadoras, trade-in de aparelhos e serviços financeiros. A plataforma de digitalização da Companhia para varejo, SAV, está presente em vários pontos de venda, incluindo a Magazine Luiza, Lojas Americanas, Eletrosom, Lojas Samsung, etc. G. Barbosa, Carrefour, BIG, Motorola, Grupo Avenida e Oi.</v>
    <v>BVMF</v>
    <v>6.94</v>
    <v>45849.833333460156</v>
    <v>175</v>
    <v>39720</v>
    <v>BRL</v>
    <v>Allied Tecnologia S.A.</v>
    <v>Allied Tecnologia S.A.</v>
    <v>6.94</v>
    <v>6.97</v>
    <v>Rodovia Vice-Prefeito Hermenegildo Tonolli, 1.500 Lote GLA2/Galpao 04B, Distrito Industrial, JUNDIAI, SAO PAULO, 13.213-086 BR</v>
    <v>Computers, Phones &amp; Household Electronics</v>
    <v>ALLD3</v>
    <v>Ações</v>
    <v>Allied Tecnologia S.A. (BVMF:ALLD3)</v>
    <v>0.03</v>
    <v>4.3230000000000005E-3</v>
    <v>50600</v>
  </rv>
  <rv s="2">
    <v>176</v>
  </rv>
  <rv s="0">
    <v>https://www.bing.com/financeapi/forcetrigger?t=apmofr&amp;q=BVMF%3aDEXP3&amp;form=skydnc</v>
    <v>Learn more on Bing</v>
  </rv>
  <rv s="9">
    <v>pt-BR</v>
    <v>apmofr</v>
    <v>268435456</v>
    <v>1</v>
    <v>Da plataforma Refinitiv</v>
    <v>18</v>
    <v>19</v>
    <v>DEXXOS PARTICIPAÇÕES S.A. (BVMF:DEXP3)</v>
    <v>12</v>
    <v>27</v>
    <v>Finance</v>
    <v>5</v>
    <v>10.17</v>
    <v>6.93</v>
    <v>BVMF</v>
    <v>103538800</v>
    <v>9.25</v>
    <v>1997</v>
    <v>8.98</v>
    <v>0.90500000000000003</v>
    <v>B3 - Brazil Stock Exchange</v>
    <v>945309600</v>
    <v>A Dexxos Participações SA, anteriormente GPC Participações SA, é uma holding sediada no Brasil. As atividades da Companhia são realizadas através de dois segmentos operacionais: Produtos químicos e Tubos de Aço. O segmento Chemicals é responsável pela fabricação de resinas termofixas para a indústria de painéis de madeira reconstituída (aglomerado/madeira compensada e painéis de fibras de média densidade (MDF)), bem como pela produção de formaldeído. Também produz hexame, e revenda metanol e outros produtos químicos. O segmento de Tubos de Aço é responsável por explorar a indústria siderúrgica, especialmente para a produção de tubos para os mercados de construção civil, petróleo, gás, infraestrutura e automóveis. As subsidiárias da Companhia incluem Apolo Tubos e Equipamentos SA e GPC Química SA.</v>
    <v>BVMF</v>
    <v>9.1300000000000008</v>
    <v>45849.833333460156</v>
    <v>178</v>
    <v>83000</v>
    <v>BRL</v>
    <v>DEXXOS PARTICIPAÇÕES S.A.</v>
    <v>DEXXOS PARTICIPAÇÕES S.A.</v>
    <v>9.01</v>
    <v>9.17</v>
    <v>Rua Do Passeio 70 5 Andar, Centro, RIO DE JANEIRO, RIO DE JANEIRO, 20.021-290 BR</v>
    <v>Chemicals</v>
    <v>DEXP3</v>
    <v>Ações</v>
    <v>DEXXOS PARTICIPAÇÕES S.A. (BVMF:DEXP3)</v>
    <v>0.04</v>
    <v>4.3809999999999995E-3</v>
    <v>48600</v>
  </rv>
  <rv s="2">
    <v>179</v>
  </rv>
  <rv s="0">
    <v>https://www.bing.com/financeapi/forcetrigger?t=apnkjc&amp;q=BVMF%3aVLID3&amp;form=skydnc</v>
    <v>Learn more on Bing</v>
  </rv>
  <rv s="8">
    <v>pt-BR</v>
    <v>apnkjc</v>
    <v>268435456</v>
    <v>1</v>
    <v>Da plataforma Refinitiv</v>
    <v>14</v>
    <v>15</v>
    <v>VALID SOLUÇÕES S.A. (BVMF:VLID3)</v>
    <v>12</v>
    <v>16</v>
    <v>Finance</v>
    <v>5</v>
    <v>28.1</v>
    <v>13.7</v>
    <v>BVMF</v>
    <v>81836380</v>
    <v>23.86</v>
    <v>1957</v>
    <v>23.17</v>
    <v>1.3549</v>
    <v>B3 - Brazil Stock Exchange</v>
    <v>1904332000</v>
    <v>A Valid Soluções SA, anteriormente Valid Soluções e Serviços de Segurança em Meios de Pagamento e Identificação SA, é uma empresa sediada no Brasil que atua principalmente na prestação de serviços impressos. As atividades da Companhia estão divididas em quatro segmentos de negócios: Meios de Pagamento, Identificação, Telecomunicações e Certificação Digital. A divisão de Meios de Pagamento produz cartões, que são utilizados diariamente para pagamentos, identificação, cartões de presente, vouchers e ingressos, entre outros. A divisão de Identificação fornece soluções físicas e eletrônicas, como captura, armazenamento e gerenciamento de dados, impressão de segurança, bem como reconhecimento e impressão digital. A divisão de Telecomunicações fornece bilhetes de loteria instantâneos, cartões pré-pagos e bilhetes de transporte público, entre outros. A divisão de Certificação Digital fornece tecnologia e serviços de suporte para certificados digitais certificados pelo governo.</v>
    <v>BVMF</v>
    <v>23.77</v>
    <v>5000</v>
    <v>45850</v>
    <v>181</v>
    <v>190610</v>
    <v>BRL</v>
    <v>VALID SOLUÇÕES S.A.</v>
    <v>VALID SOLUÇÕES S.A.</v>
    <v>23.77</v>
    <v>23.34</v>
    <v>R Laura Maiello Kook 511, Ipanema Das Pedras, SOROCABA, SAO PAULO, 18.052-445 BR</v>
    <v>Professional &amp; Commercial Services</v>
    <v>VLID3</v>
    <v>Ações</v>
    <v>VALID SOLUÇÕES S.A. (BVMF:VLID3)</v>
    <v>-0.43</v>
    <v>-1.8089999999999998E-2</v>
    <v>287600</v>
  </rv>
  <rv s="2">
    <v>182</v>
  </rv>
  <rv s="0">
    <v>https://www.bing.com/financeapi/forcetrigger?t=apmphw&amp;q=BVMF%3aHAGA3&amp;form=skydnc</v>
    <v>Learn more on Bing</v>
  </rv>
  <rv s="9">
    <v>pt-BR</v>
    <v>apmphw</v>
    <v>268435456</v>
    <v>1</v>
    <v>Da plataforma Refinitiv</v>
    <v>18</v>
    <v>19</v>
    <v>HAGA S.A. INDUSTRIA E COMERCIO (BVMF:HAGA3)</v>
    <v>12</v>
    <v>20</v>
    <v>Finance</v>
    <v>5</v>
    <v>3.24</v>
    <v>1.75</v>
    <v>BVMF</v>
    <v>11900000</v>
    <v>1.98</v>
    <v>1937</v>
    <v>1.98</v>
    <v>1.0128999999999999</v>
    <v>B3 - Brazil Stock Exchange</v>
    <v>17017000</v>
    <v>A Haga SA Indústria e Comércio é uma empresa sediada no Brasil que se dedica principalmente à fabricação de artigos de ferro e metal. A empresa dedica-se à produção, comercialização e exportação de fechaduras, chaves, dobradiças e cadeados para o sector da construção, bem como para a indústria naval, industrial e moveleira. A Haga vende seus produtos sob a marca Haga. Os produtos da Empresa estão organizados em várias linhas, como Design, Inox, Futura, Classic, Standard e Colonial, entre outras. A Companhia possui seu parque fabril na cidade de Nova Friburgo, localizada no estado do Rio de Janeiro. Em 31 de dezembro de 2011, sua subsidiária era Fullmetal Industria e Comercio SA. Em 19 de março de 2012, o processo de liquidação da Companhia foi encerrado e todas as obrigações foram declaradas extintas.</v>
    <v>BVMF</v>
    <v>1.95</v>
    <v>45850</v>
    <v>184</v>
    <v>3320</v>
    <v>BRL</v>
    <v>HAGA S.A. INDUSTRIA E COMERCIO</v>
    <v>HAGA S.A. INDUSTRIA E COMERCIO</v>
    <v>1.98</v>
    <v>1.98</v>
    <v>Avenida Engenheiro Hans Gaiser, 26,Predio, Centro, NOVA FRIBURGO, RIO DE JANEIRO, 28.605-220 BR</v>
    <v>Specialty Retailers</v>
    <v>HAGA3</v>
    <v>Ações</v>
    <v>HAGA S.A. INDUSTRIA E COMERCIO (BVMF:HAGA3)</v>
    <v>0.03</v>
    <v>1.5384999999999999E-2</v>
    <v>100</v>
  </rv>
  <rv s="2">
    <v>185</v>
  </rv>
  <rv s="0">
    <v>https://www.bing.com/financeapi/forcetrigger?t=bwn8hw&amp;q=BVMF%3aRRRP3&amp;form=skydnc</v>
    <v>Learn more on Bing</v>
  </rv>
  <rv s="8">
    <v>pt-BR</v>
    <v>bwn8hw</v>
    <v>268435456</v>
    <v>1</v>
    <v>Da plataforma Refinitiv</v>
    <v>14</v>
    <v>15</v>
    <v>Brava Energia S.A. (BVMF:BRAV3)</v>
    <v>12</v>
    <v>17</v>
    <v>Finance</v>
    <v>5</v>
    <v>30.28</v>
    <v>15.26</v>
    <v>BVMF</v>
    <v>464187500</v>
    <v>17.96</v>
    <v>2010</v>
    <v>17.62</v>
    <v>1.2716000000000001</v>
    <v>B3 - Brazil Stock Exchange</v>
    <v>8257895625</v>
    <v>A Brava Energia SA, anteriormente 3R Petroleum Oleo e Gás SA, é uma empresa pública com sede no Brasil que atua na indústria integrada de petróleo e gás. A empresa tem como foco a exploração, produção e comercialização de petróleo e gás natural, incluindo derivados, qualificados para operar ativos em campos terrestres e offshore (mar), incluindo campos de pré-sal. A Companhia é uma holding, com várias subsidiárias operacionais, operando no segmento Upstream, e a Midstream e downstream da cadeia de petróleo e gás. O segmento Upstream inclui as atividades de exploração, produção e comercialização de petróleo e gás. O segmento Midstream &amp; downstream inclui o fluxo, tratamento, processamento e comercialização de produtos de petróleo e gás.</v>
    <v>BVMF</v>
    <v>17.75</v>
    <v>531</v>
    <v>45849.838551191409</v>
    <v>187</v>
    <v>6785070</v>
    <v>BRL</v>
    <v>Brava Energia S.A.</v>
    <v>Brava Energia S.A.</v>
    <v>17.7</v>
    <v>17.79</v>
    <v>Praia de Botafogo, 186, SL 1401, 1501, Botafogo, Rio De Janeiro, RIO DE JANEIRO, 22.250-145 BR</v>
    <v>Oil &amp; Gas</v>
    <v>BRAV3</v>
    <v>Ações</v>
    <v>Brava Energia S.A. (BVMF:BRAV3)</v>
    <v>0.04</v>
    <v>2.2539999999999999E-3</v>
    <v>9266900</v>
  </rv>
  <rv s="2">
    <v>188</v>
  </rv>
  <rv s="0">
    <v>https://www.bing.com/financeapi/forcetrigger?t=apmxqh&amp;q=BVMF%3aMILS3&amp;form=skydnc</v>
    <v>Learn more on Bing</v>
  </rv>
  <rv s="8">
    <v>pt-BR</v>
    <v>apmxqh</v>
    <v>268435456</v>
    <v>1</v>
    <v>Da plataforma Refinitiv</v>
    <v>14</v>
    <v>15</v>
    <v>Mills Locação, Serviços e Logística S.A (BVMF:MILS3)</v>
    <v>12</v>
    <v>16</v>
    <v>Finance</v>
    <v>5</v>
    <v>11.7</v>
    <v>8.06</v>
    <v>BVMF</v>
    <v>234178200</v>
    <v>11.32</v>
    <v>1980</v>
    <v>11.16</v>
    <v>1.5494000000000001</v>
    <v>B3 - Brazil Stock Exchange</v>
    <v>2634504750</v>
    <v>A Mills Locacao Servicos e Logistica SA é uma empresa sediada no Brasil. A Companhia e suas subsidiárias operam no mercado de locação de máquinas e equipamentos e construção de alta complexidade. Suas principais atividades incluem a venda e aluguel de empilhadeiras e porta-paletes, bem como peças e componentes, assistência técnica e manutenção desses equipamentos. Eles também se envolvem na venda e aluguel de tratores, escavadeiras, carregadeiras e motoniveladoras, juntamente com peças e componentes, assistência técnica e serviços de manutenção. Além disso, a Mills está envolvida nas vendas, aluguel e distribuição de plataformas de trabalho aéreo e manipuladores telescópicos, incluindo peças e componentes, assistência técnica e serviços de manutenção. A Companhia também fornece locação e vendas, incluindo importação e exportação, de estruturas tubulares de aço e alumínio, escoramento e equipamentos de acesso para construção civil, juntamente com formas de concreto reutilizáveis e serviços de engenharia relacionados.</v>
    <v>BVMF</v>
    <v>11.35</v>
    <v>1205</v>
    <v>45850</v>
    <v>190</v>
    <v>798560</v>
    <v>BRL</v>
    <v>Mills Locação, Serviços e Logística S.A</v>
    <v>Mills Locação, Serviços e Logística S.A</v>
    <v>11.32</v>
    <v>11.25</v>
    <v>Avenida Dra. Ruth Cardoso, n 7815 - CJ 401-B, Pinheiros, SAO PAULO, SAO PAULO, 05.425-905 BR</v>
    <v>Professional &amp; Commercial Services</v>
    <v>MILS3</v>
    <v>Ações</v>
    <v>Mills Locação, Serviços e Logística S.A (BVMF:MILS3)</v>
    <v>-0.1</v>
    <v>-8.8109999999999994E-3</v>
    <v>691800</v>
  </rv>
  <rv s="2">
    <v>191</v>
  </rv>
  <rv s="0">
    <v>https://www.bing.com/financeapi/forcetrigger?t=apne6h&amp;q=BVMF%3aSTBP3&amp;form=skydnc</v>
    <v>Learn more on Bing</v>
  </rv>
  <rv s="8">
    <v>pt-BR</v>
    <v>apne6h</v>
    <v>268435456</v>
    <v>1</v>
    <v>Da plataforma Refinitiv</v>
    <v>14</v>
    <v>15</v>
    <v>SANTOS BRASIL PARTICIPAÇÕES S.A. (BVMF:STBP3)</v>
    <v>12</v>
    <v>16</v>
    <v>Finance</v>
    <v>5</v>
    <v>13.84</v>
    <v>10.52</v>
    <v>BVMF</v>
    <v>864170300</v>
    <v>13.82</v>
    <v>1998</v>
    <v>13.78</v>
    <v>1.298</v>
    <v>B3 - Brazil Stock Exchange</v>
    <v>11942833546</v>
    <v>A SANTOS BRASIL PARTICIPAÇÕES S.A. é uma holding brasileira que presta serviços logísticos. Através de suas subsidiárias, a empresa administra e opera instalações portuárias e fornece logística integrada para transporte de carga. A empresa atua em três áreas comerciais: setor de Terminais portuários de contêiner, que inclui operadores portuários que efetuam operações de carga e descarga de navios porta-contentores e entrepostos aduaneiros que asseguram o armazenamento das cargas manuseadas em suas docas; setor de Logística, que oferece serviços de transporte e de centro de distribuição; e Terminal de veículos, que fornece carga e descarga de veículos e armazenamento de carros. Os três terminais de contêiner da empresa estão localizados nos estados de São Paulo, Pará e Santa Catarina.</v>
    <v>BVMF</v>
    <v>13.78</v>
    <v>3703</v>
    <v>45850</v>
    <v>193</v>
    <v>2214020</v>
    <v>BRL</v>
    <v>SANTOS BRASIL PARTICIPAÇÕES S.A.</v>
    <v>SANTOS BRASIL PARTICIPAÇÕES S.A.</v>
    <v>13.79</v>
    <v>13.82</v>
    <v>Rua Joaquim Floriano, 413 - 10 andar cj 101 e 102, Itaim Bibi, SAO PAULO, SAO PAULO, 04.534-011 BR</v>
    <v>Transport Infrastructure</v>
    <v>STBP3</v>
    <v>Ações</v>
    <v>SANTOS BRASIL PARTICIPAÇÕES S.A. (BVMF:STBP3)</v>
    <v>0.04</v>
    <v>2.9030000000000002E-3</v>
    <v>2035200</v>
  </rv>
  <rv s="2">
    <v>194</v>
  </rv>
  <rv s="0">
    <v>https://www.bing.com/financeapi/forcetrigger?t=ayd527&amp;q=BVMF%3aVBBR3&amp;form=skydnc</v>
    <v>Learn more on Bing</v>
  </rv>
  <rv s="8">
    <v>pt-BR</v>
    <v>ayd527</v>
    <v>268435456</v>
    <v>1</v>
    <v>Da plataforma Refinitiv</v>
    <v>14</v>
    <v>15</v>
    <v>Vibra Energia S.A. (BVMF:VBBR3)</v>
    <v>12</v>
    <v>17</v>
    <v>Finance</v>
    <v>5</v>
    <v>25.31</v>
    <v>15.33</v>
    <v>BVMF</v>
    <v>1119000000</v>
    <v>22.08</v>
    <v>1971</v>
    <v>21.65</v>
    <v>1.0336000000000001</v>
    <v>B3 - Brazil Stock Exchange</v>
    <v>24327060000</v>
    <v>A Vibra Energia SA, anteriormente conhecida como Petrobras Distribuidora SA, é uma empresa sediada no Brasil, envolvida na distribuição nacional de produtos petrolíferos. As atividades da Companhia estão divididas em cinco segmentos: Rede Gasoline Stations, que atua na operação de uma rede de estações de serviço de marca (propriedade da Companhia ou franqueada) que comercializam combustíveis, lubrificantes e produtos e serviços derivados de petróleo, gás natural para veículos, biocombustíveis e produtos de conveniência; Business-to-Business (B2B), que fornece combustíveis, lubrificantes e produtos e serviços associados para governos, empresas de aviação, empresas de transporte, Usinas térmicas, concessionárias e empresas de varejo; energia, focada no comércio e geração distribuída de energia; e Corporativa, abrangendo a gestão financeira corporativa.</v>
    <v>BVMF</v>
    <v>22.09</v>
    <v>3814</v>
    <v>45849.838578691408</v>
    <v>196</v>
    <v>10270800</v>
    <v>BRL</v>
    <v>Vibra Energia S.A.</v>
    <v>Vibra Energia S.A.</v>
    <v>22.05</v>
    <v>21.74</v>
    <v>Rua Correia Vasques n 250 4 andar, Cidade Nova, RIO DE JANEIRO, RIO DE JANEIRO, 20.211-140 BR</v>
    <v>Oil &amp; Gas</v>
    <v>VBBR3</v>
    <v>Ações</v>
    <v>Vibra Energia S.A. (BVMF:VBBR3)</v>
    <v>-0.35</v>
    <v>-1.5844E-2</v>
    <v>9900000</v>
  </rv>
  <rv s="2">
    <v>197</v>
  </rv>
  <rv s="0">
    <v>https://www.bing.com/financeapi/forcetrigger?t=apmm2w&amp;q=BVMF%3aFRAS3&amp;form=skydnc</v>
    <v>Learn more on Bing</v>
  </rv>
  <rv s="9">
    <v>pt-BR</v>
    <v>apmm2w</v>
    <v>268435456</v>
    <v>1</v>
    <v>Da plataforma Refinitiv</v>
    <v>18</v>
    <v>19</v>
    <v>FRAS-LE S.A. (BVMF:FRAS3)</v>
    <v>12</v>
    <v>20</v>
    <v>Finance</v>
    <v>5</v>
    <v>29.57</v>
    <v>17.55</v>
    <v>BVMF</v>
    <v>279272300</v>
    <v>24.99</v>
    <v>1954</v>
    <v>23.89</v>
    <v>0.98460000000000003</v>
    <v>B3 - Brazil Stock Exchange</v>
    <v>6677400693</v>
    <v>A Fras Le SA é uma empresa sediada no Brasil que se dedica principalmente à fabricação de materiais de fricção. A empresa se concentra no projeto, produção, comercialização, exportação e importação de materiais de fricção para sistemas de freio de veículos motorizados. A linha de produtos da Companhia inclui revestimentos de embreagens, lonas de freio, sapatas e pastilhas de freio para caminhões, ônibus, automóveis, tratores, metrôs, elevadores e aeronaves, entre outros. O portfólio de marcas da empresa inclui Fras-le e Lonaflex. Suas atividades estão divididas em dois segmentos de negócios: Montadoras, que oferece produtos para o mercado automotivo, e Replacement, que fornece materiais de fricção para o mercado de peças de reposição. A Companhia opera por meio de várias subsidiárias nas Américas, Europa, Ásia e África do Sul. A Companhia é controlada pela Randon SA Implementos e Participações.</v>
    <v>BVMF</v>
    <v>26.15</v>
    <v>45850</v>
    <v>199</v>
    <v>418810</v>
    <v>BRL</v>
    <v>FRAS-LE S.A.</v>
    <v>FRAS-LE S.A.</v>
    <v>24.99</v>
    <v>23.91</v>
    <v>Rodovia RS 122, Km 66, n 10.945 Predio adm, Forqueta, CAXIAS DO SUL, RIO GRANDE DO SUL, 95.010-550 BR</v>
    <v>Automobiles &amp; Auto Parts</v>
    <v>FRAS3</v>
    <v>Ações</v>
    <v>FRAS-LE S.A. (BVMF:FRAS3)</v>
    <v>-2.2400000000000002</v>
    <v>-8.5660000000000014E-2</v>
    <v>1832000</v>
  </rv>
  <rv s="2">
    <v>200</v>
  </rv>
  <rv s="0">
    <v>https://www.bing.com/financeapi/forcetrigger?t=aplvu2&amp;q=BVMF%3aALUP4&amp;form=skydnc</v>
    <v>Learn more on Bing</v>
  </rv>
  <rv s="8">
    <v>pt-BR</v>
    <v>aplvu2</v>
    <v>268435456</v>
    <v>1</v>
    <v>Da plataforma Refinitiv</v>
    <v>14</v>
    <v>15</v>
    <v>Alupar Investimento S.A. (BVMF:ALUP4)</v>
    <v>12</v>
    <v>17</v>
    <v>Finance</v>
    <v>5</v>
    <v>10.3</v>
    <v>8.19</v>
    <v>BVMF</v>
    <v>329626900</v>
    <v>9.74</v>
    <v>2006</v>
    <v>9.57</v>
    <v>0.62519999999999998</v>
    <v>B3 - Brazil Stock Exchange</v>
    <v>10004180000</v>
    <v>A Alupar Investimento S.A. é uma empresa brasileira que atua principalmente no setor de concessionárias de energia elétrica. A empresa concentra-se no desenvolvimento e investimento em projetos de infraestrutura envolvendo a indústria da energia no Brasil e em outros países latino-americanos. Suas atividades se dividem em dois segmentos comerciais: Transmissão e Geração. A divisão Transmissão detém concessões de transmissão de energia elétrica no Brasil e no Chile. A divisão Geração inclui a geração de eletricidade renovável por meio de usinas hidrelétricas (UHE), pequenas usinas hidrelétricas (PUH) e parques eólicos no Brasil, Colômbia e Peru. A empresa atua por meio de diversas subsidiárias, como a Transminas Holding S.A., Windepar Holding S.A., Alupar Inversiones Peru SAC e Alupar Chile Inversiones SpA. A empresa é controlada pela Guarupart Participações Ltda.</v>
    <v>BVMF</v>
    <v>9.61</v>
    <v>906</v>
    <v>45849.829675925925</v>
    <v>202</v>
    <v>883130</v>
    <v>BRL</v>
    <v>Alupar Investimento S.A.</v>
    <v>Alupar Investimento S.A.</v>
    <v>9.73</v>
    <v>9.6199999999999992</v>
    <v>Rua Gomes de Carvalho, n 1996 16 andar, Vila Olimpia, SAO PAULO, SAO PAULO, 04.547-006 BR</v>
    <v>Electrical Utilities &amp; IPPs</v>
    <v>ALUP4</v>
    <v>Ações</v>
    <v>Alupar Investimento S.A. (BVMF:ALUP4)</v>
    <v>0.01</v>
    <v>1.041E-3</v>
    <v>7200</v>
  </rv>
  <rv s="2">
    <v>203</v>
  </rv>
  <rv s="0">
    <v>https://www.bing.com/financeapi/forcetrigger?t=apnhim&amp;q=BVMF%3aTRIS3&amp;form=skydnc</v>
    <v>Learn more on Bing</v>
  </rv>
  <rv s="8">
    <v>pt-BR</v>
    <v>apnhim</v>
    <v>268435456</v>
    <v>1</v>
    <v>Da plataforma Refinitiv</v>
    <v>14</v>
    <v>15</v>
    <v>TRISUL S.A. (BVMF:TRIS3)</v>
    <v>12</v>
    <v>17</v>
    <v>Finance</v>
    <v>5</v>
    <v>8.1</v>
    <v>3.97</v>
    <v>BVMF</v>
    <v>186617500</v>
    <v>6.75</v>
    <v>2007</v>
    <v>6.58</v>
    <v>1.5291999999999999</v>
    <v>B3 - Brazil Stock Exchange</v>
    <v>1250338000</v>
    <v>A Trisul SA é uma empresa com sede no Brasil que atua no setor imobiliário. Foi constituída a partir da fusão de duas empresas: Incosul Incorporacao e Construcao Ltda e Tricury Construcoes e Participações Ltda. Em conjunto com suas subsidiárias, a Companhia tem por objetivo principal a construção, compra, venda e locação de edifícios residenciais, bem como aquisição e loteamento de terrenos. Atua principalmente no estado brasileiro de São Paulo. A Companhia desenvolve suas operações em cidades como São Paulo, Santos, Guarulhos e Ribeirão Preto, entre outras. Trisul Life e Trisul Lar, principais produtos desenvolvidos pela Companhia, são unidades residenciais de 45 a 65 metros quadrados. Em 31 de dezembro de 2011, a Trisul SA possuía uma série de subsidiárias, incluindo Tricury Construções e Participações Ltda, Incosul Incorporação e Construção Ltda e Ribeirao VIII Empreendimentos Imobiliarios Ltda, entre outras.</v>
    <v>BVMF</v>
    <v>6.64</v>
    <v>379</v>
    <v>45849.838194860939</v>
    <v>205</v>
    <v>394540</v>
    <v>BRL</v>
    <v>TRISUL S.A.</v>
    <v>TRISUL S.A.</v>
    <v>6.6</v>
    <v>6.7</v>
    <v>Alameda dos Jaunas, 70, Indianopolis, SAO PAULO, SAO PAULO, 01.311-902 BR</v>
    <v>Homebuilding &amp; Construction Supplies</v>
    <v>TRIS3</v>
    <v>Ações</v>
    <v>TRISUL S.A. (BVMF:TRIS3)</v>
    <v>0.06</v>
    <v>9.0359999999999989E-3</v>
    <v>268200</v>
  </rv>
  <rv s="2">
    <v>206</v>
  </rv>
  <rv s="0">
    <v>https://www.bing.com/financeapi/forcetrigger?t=apngdm&amp;q=BVMF%3aTGMA3&amp;form=skydnc</v>
    <v>Learn more on Bing</v>
  </rv>
  <rv s="8">
    <v>pt-BR</v>
    <v>apngdm</v>
    <v>268435456</v>
    <v>1</v>
    <v>Da plataforma Refinitiv</v>
    <v>14</v>
    <v>15</v>
    <v>Tegma Gestão Logística S.A (BVMF:TGMA3)</v>
    <v>12</v>
    <v>16</v>
    <v>Finance</v>
    <v>5</v>
    <v>37.83</v>
    <v>21.53</v>
    <v>BVMF</v>
    <v>66002920</v>
    <v>35.950000000000003</v>
    <v>1998</v>
    <v>35.24</v>
    <v>1.1592</v>
    <v>B3 - Brazil Stock Exchange</v>
    <v>2332543000</v>
    <v>A TEGMA GESTÃO LOGÍSTICA S.A. é uma empresa estabelecida no Brasil, que atua no setor de transportes. A empresa está envolvida principalmente em serviços de logística para a indústria automotiva. Além disso, fornece serviços de transporte para empresas que atuam em outras áreas, inclusive combustível, agronegócios, polpa e papel, produtos químicos, telecomunicações e indústria eletrônica. A empresa também fornece serviços de armazenagem. Adicionalmente, fornece serviços de inspeção de veículos importados. Através de sua subsidiária Direct Logística Integrada S.A., a empresa oferece serviços de entregas expressas. Em 31 de dezembro de 2011, as subsidiárias da empresa eram a Tegmax Comércio e Serviços Automotivos Ltda., TGI Comércio Atacadista de Peças Automotivas Ltda., Tegma Cargas Especiais Ltda., Tegma Logística Integrada S.A., PDI Comércio e Indústria e Serviços Ltda., Direct Logística Integrada S.A. e Niyati Empreendimentos e Participações Ltda. Em 1º de fevereiro de 2012, a empresa concluiu a compra da LTD Transportes Ltda.</v>
    <v>BVMF</v>
    <v>35.94</v>
    <v>5086</v>
    <v>45850</v>
    <v>208</v>
    <v>236810</v>
    <v>BRL</v>
    <v>Tegma Gestão Logística S.A</v>
    <v>Tegma Gestão Logística S.A</v>
    <v>35.94</v>
    <v>35.340000000000003</v>
    <v>Av. Nicola Demarchi, 2000, Demarchi, SAO BERNARDO DO CAMPO, SAO PAULO, 09.820-655 BR</v>
    <v>Freight &amp; Logistics Services</v>
    <v>TGMA3</v>
    <v>Ações</v>
    <v>Tegma Gestão Logística S.A (BVMF:TGMA3)</v>
    <v>-0.6</v>
    <v>-1.6694000000000001E-2</v>
    <v>263500</v>
  </rv>
  <rv s="2">
    <v>209</v>
  </rv>
  <rv s="0">
    <v>https://www.bing.com/financeapi/forcetrigger?t=apn9cw&amp;q=BVMF%3aREDE3&amp;form=skydnc</v>
    <v>Learn more on Bing</v>
  </rv>
  <rv s="8">
    <v>pt-BR</v>
    <v>apn9cw</v>
    <v>268435456</v>
    <v>1</v>
    <v>Da plataforma Refinitiv</v>
    <v>14</v>
    <v>15</v>
    <v>Rede Energia Participações S.A (BVMF:REDE3)</v>
    <v>12</v>
    <v>16</v>
    <v>Finance</v>
    <v>5</v>
    <v>6.97</v>
    <v>5.84</v>
    <v>BVMF</v>
    <v>2110323000</v>
    <v>6.69</v>
    <v>1929</v>
    <v>6.6</v>
    <v>0.21479999999999999</v>
    <v>B3 - Brazil Stock Exchange</v>
    <v>14012550000</v>
    <v>A Rede Energia Participações SA, anteriormente Rede Energia SA, é uma empresa holding sediada no Brasil, que atua no setor de energia elétrica. Juntamente com suas controladas, a Companhia atua na geração, distribuição e comercialização de energia elétrica, além de outras atividades relacionadas ao setor elétrico. Atua no setor de geração por meio da usina hidroelétrica Guapore, de propriedade da controlada Tangara Energia SA, localizada nos municípios de Vale de São Domingos e Pontes e Lacerda, no estado brasileiro de Mato Grosso. A Companhia atua no setor de distribuição através de nove empresas, incluindo Centrais Elétricas Matogrossenses SA, entre outras. Por meio da sua controlada Rede Comercializadora de Energia SA, a Companhia atua na intermediação e negociação de contratos de energia com geradoras, fornecedores e consumidores livres. A controlada da Companhia, Rede Eletricidade e Serviços SA, presta serviços relacionados ao setor de energia elétrica.</v>
    <v>BVMF</v>
    <v>6.64</v>
    <v>7703</v>
    <v>45850</v>
    <v>211</v>
    <v>1390</v>
    <v>BRL</v>
    <v>Rede Energia Participações S.A</v>
    <v>Rede Energia Participações S.A</v>
    <v>6.64</v>
    <v>6.61</v>
    <v>Praca Rui Barbosa,n 80, Centro, CATAGUASES, MINAS GERAIS, 36.770-901 BR</v>
    <v>Electrical Utilities &amp; IPPs</v>
    <v>REDE3</v>
    <v>Ações</v>
    <v>Rede Energia Participações S.A (BVMF:REDE3)</v>
    <v>-0.03</v>
    <v>-4.5179999999999994E-3</v>
    <v>1100</v>
  </rv>
  <rv s="2">
    <v>212</v>
  </rv>
  <rv s="0">
    <v>https://www.bing.com/financeapi/forcetrigger?t=apn9u2&amp;q=BVMF%3aRNEW3&amp;form=skydnc</v>
    <v>Learn more on Bing</v>
  </rv>
  <rv s="8">
    <v>pt-BR</v>
    <v>apn9u2</v>
    <v>268435456</v>
    <v>1</v>
    <v>Da plataforma Refinitiv</v>
    <v>14</v>
    <v>15</v>
    <v>RENOVA ENERGIA S.A. - EM RECUPERAÇÃO JUDICIAL (BVMF:RNEW3)</v>
    <v>12</v>
    <v>16</v>
    <v>Finance</v>
    <v>5</v>
    <v>2.6</v>
    <v>0.84</v>
    <v>BVMF</v>
    <v>124061300</v>
    <v>0.99</v>
    <v>2006</v>
    <v>0.94</v>
    <v>1.3280000000000001</v>
    <v>B3 - Brazil Stock Exchange</v>
    <v>343032900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0.92</v>
    <v>141</v>
    <v>45850</v>
    <v>214</v>
    <v>64180</v>
    <v>BRL</v>
    <v>RENOVA ENERGIA S.A. - EM RECUPERAÇÃO JUDICIAL</v>
    <v>RENOVA ENERGIA S.A. - EM RECUPERAÇÃO JUDICIAL</v>
    <v>0.94</v>
    <v>0.98</v>
    <v>Avenida das Nacoes Unidas, n 10.989, conjunto 82, Vila Olimpia, SAO PAULO, SAO PAULO, 04.578-000 BR</v>
    <v>Electrical Utilities &amp; IPPs</v>
    <v>RNEW3</v>
    <v>Ações</v>
    <v>RENOVA ENERGIA S.A. - EM RECUPERAÇÃO JUDICIAL (BVMF:RNEW3)</v>
    <v>0.06</v>
    <v>6.5216999999999997E-2</v>
    <v>147100</v>
  </rv>
  <rv s="2">
    <v>215</v>
  </rv>
  <rv s="0">
    <v>https://www.bing.com/financeapi/forcetrigger?t=apmdz2&amp;q=BVMF%3aCVCB3&amp;form=skydnc</v>
    <v>Learn more on Bing</v>
  </rv>
  <rv s="8">
    <v>pt-BR</v>
    <v>apmdz2</v>
    <v>268435456</v>
    <v>1</v>
    <v>Da plataforma Refinitiv</v>
    <v>14</v>
    <v>15</v>
    <v>CVC Brasil Operadora e Agência de Viagens S.A. (BVMF:CVCB3)</v>
    <v>12</v>
    <v>16</v>
    <v>Finance</v>
    <v>5</v>
    <v>2.92</v>
    <v>1.33</v>
    <v>BVMF</v>
    <v>525591100</v>
    <v>2.39</v>
    <v>2009</v>
    <v>2.21</v>
    <v>2.4916</v>
    <v>B3 - Brazil Stock Exchange</v>
    <v>1229883000</v>
    <v>A CVC Brasil Operadora e Agência de Viagens SA é uma empresa sediada no Brasil, envolvida no setor de turismo. A Companhia oferece pacotes turísticos nacionais e internacionais, cruzeiros, estadias em hotéis e resorts, passagens aéreas e passeios turísticos. Seus pacotes de viagem combinam passagens aéreas, transporte terrestre, acomodações, seguro de viagem, guias turísticos e outros serviços complementares de viagem. Além disso, organiza intercâmbios internacionais, acampamentos de idiomas e viagens para adolescentes. A Companhia vende produtos e serviços através de lojas próprias, plataformas de distribuição online e agentes independentes autorizados. Seus destinos incluem principalmente a Europa e as Américas. A Companhia possui várias subsidiárias no Brasil e na Argentina, como CVC Serviços Agencia de Viagens Ltda e CVC Turismo SAU, entre outras.</v>
    <v>BVMF</v>
    <v>2.2999999999999998</v>
    <v>2000</v>
    <v>45850</v>
    <v>217</v>
    <v>8158460</v>
    <v>BRL</v>
    <v>CVC Brasil Operadora e Agência de Viagens S.A.</v>
    <v>CVC Brasil Operadora e Agência de Viagens S.A.</v>
    <v>2.2799999999999998</v>
    <v>2.37</v>
    <v>Rua da Catequese, 227, 11 andar, sala 111, Jardim, SANTO ANDRE, SAO PAULO, 09.090-401 BR</v>
    <v>Hotels &amp; Entertainment Services</v>
    <v>CVCB3</v>
    <v>Ações</v>
    <v>CVC Brasil Operadora e Agência de Viagens S.A. (BVMF:CVCB3)</v>
    <v>7.0000000000000007E-2</v>
    <v>3.0435E-2</v>
    <v>14293600</v>
  </rv>
  <rv s="2">
    <v>218</v>
  </rv>
  <rv s="0">
    <v>https://www.bing.com/financeapi/forcetrigger?t=bxo6p2&amp;q=BVMF%3aORVR3&amp;form=skydnc</v>
    <v>Learn more on Bing</v>
  </rv>
  <rv s="9">
    <v>pt-BR</v>
    <v>bxo6p2</v>
    <v>268435456</v>
    <v>1</v>
    <v>Da plataforma Refinitiv</v>
    <v>18</v>
    <v>19</v>
    <v>Orizon Valorização de Resíduos S.A. (BVMF:ORVR3)</v>
    <v>12</v>
    <v>27</v>
    <v>Finance</v>
    <v>5</v>
    <v>54.47</v>
    <v>36.04</v>
    <v>BVMF</v>
    <v>88656280</v>
    <v>52.03</v>
    <v>2009</v>
    <v>51.13</v>
    <v>0.89400000000000002</v>
    <v>B3 - Brazil Stock Exchange</v>
    <v>4540975000</v>
    <v>A Orizon Valorizacao de Residuos SA é uma empresa com sede no Brasil que atua no setor de tratamento de resíduos. As atividades da Empresa estão divididas em quatro segmentos: Destinação final de resíduos sólidos; Certificados de energia, biogás e emissões reduzidas; Processamento de resíduos; e Engenharia Ambiental. Por meio do segmento de destinação final de resíduos sólidos, a empresa administra estações de tratamento e disposição de resíduos. O segmento de certificados de energia, biogás e emissões reduzidas tem como foco o desenvolvimento de usinas bioenergéticas para obtenção e tratamento de gases de decomposição de resíduos e também é responsável pela comercialização de créditos de carbono no mercado livre. O segmento de Processamento de Resíduos desenvolve plantas para o beneficiamento de materiais industriais, para a reciclagem de resíduos sólidos urbanos e para a queima direta de resíduos para geração de energia. O segmento de Engenharia Ambiental presta serviços de recuperação de áreas degradadas, remediação e monitoramento ambiental, entre outros.</v>
    <v>BVMF</v>
    <v>51.55</v>
    <v>45849.838645948439</v>
    <v>220</v>
    <v>369340</v>
    <v>BRL</v>
    <v>Orizon Valorização de Resíduos S.A.</v>
    <v>Orizon Valorização de Resíduos S.A.</v>
    <v>51.93</v>
    <v>51.22</v>
    <v>Avenida das Nacoes Unidas, 12.901 8 andar, Torre Oest, Brooklin Paulista, SAO PAULO, SAO PAULO, 04.578-910 BR</v>
    <v>Professional &amp; Commercial Services</v>
    <v>ORVR3</v>
    <v>Ações</v>
    <v>Orizon Valorização de Resíduos S.A. (BVMF:ORVR3)</v>
    <v>-0.33</v>
    <v>-6.4019999999999997E-3</v>
    <v>374700</v>
  </rv>
  <rv s="2">
    <v>221</v>
  </rv>
  <rv s="0">
    <v>https://www.bing.com/financeapi/forcetrigger?t=apmrxm&amp;q=BVMF%3aIRBR3&amp;form=skydnc</v>
    <v>Learn more on Bing</v>
  </rv>
  <rv s="8">
    <v>pt-BR</v>
    <v>apmrxm</v>
    <v>268435456</v>
    <v>1</v>
    <v>Da plataforma Refinitiv</v>
    <v>14</v>
    <v>15</v>
    <v>IRB-Brasil Resseguros S.A. (BVMF:IRBR3)</v>
    <v>12</v>
    <v>16</v>
    <v>Finance</v>
    <v>5</v>
    <v>57.99</v>
    <v>27.51</v>
    <v>BVMF</v>
    <v>81842890</v>
    <v>44.79</v>
    <v>1939</v>
    <v>44.02</v>
    <v>1.4404999999999999</v>
    <v>B3 - Brazil Stock Exchange</v>
    <v>3630551000</v>
    <v>IRB-Brasil Resseguros SA, anteriormente Instituto de Seguros do Brasil A IRB é uma empresa de resseguros sediada no Brasil. A Companhia possui dois segmentos operacionais, a saber, Brasil e no exterior. IRB-Brasil Resseguros oferece cobertura de riscos em diversas linhas de negócios, incluindo causalidade, Riscos Agrícolas, Propriedade, Vida e Previdência, petróleo e gás, carga e marinha, habitação, garantia e finanças. Na área de Riscos Marítimos, a cobertura da Companhia inclui toda a cadeia: Cascos, operadores portuários e construção de navios. Os produtos da linha de negócios Life &amp; Pension compreendem os segmentos de doenças graves, morte em acidentes aéreos, perda de renda e outros. A linha de negócio habitacional permite a aquisição de imóveis, garantindo a liquidação/amortização do saldo da dívida em caso de morte ou incapacidade permanente.</v>
    <v>BVMF</v>
    <v>44.57</v>
    <v>399</v>
    <v>45850</v>
    <v>223</v>
    <v>548830</v>
    <v>BRL</v>
    <v>IRB-Brasil Resseguros S.A.</v>
    <v>IRB-Brasil Resseguros S.A.</v>
    <v>44.57</v>
    <v>44.36</v>
    <v>Av. Republica do Chile, n 330, Torre Leste, e 4 andares, Centro, RIO DE JANEIRO, RIO DE JANEIRO, 20.031-170 BR</v>
    <v>Insurance</v>
    <v>IRBR3</v>
    <v>Ações</v>
    <v>IRB-Brasil Resseguros S.A. (BVMF:IRBR3)</v>
    <v>-0.21</v>
    <v>-4.712E-3</v>
    <v>405300</v>
  </rv>
  <rv s="2">
    <v>224</v>
  </rv>
  <rv s="0">
    <v>https://www.bing.com/financeapi/forcetrigger?t=apmg1h&amp;q=BVMF%3aEALT4&amp;form=skydnc</v>
    <v>Learn more on Bing</v>
  </rv>
  <rv s="8">
    <v>pt-BR</v>
    <v>apmg1h</v>
    <v>268435456</v>
    <v>1</v>
    <v>Da plataforma Refinitiv</v>
    <v>14</v>
    <v>15</v>
    <v>ELECTRO ACO ALTONA S.A. (BVMF:EALT4)</v>
    <v>12</v>
    <v>16</v>
    <v>Finance</v>
    <v>5</v>
    <v>16.899999999999999</v>
    <v>10.52</v>
    <v>BVMF</v>
    <v>22500000</v>
    <v>14.39</v>
    <v>1924</v>
    <v>14.1</v>
    <v>0.50849999999999995</v>
    <v>B3 - Brazil Stock Exchange</v>
    <v>331515000</v>
    <v>A Electro Aço Altona S.A é uma empresa brasileira dedicada essencialmente à fabricação de peças fundidas de aço. A Empresa atua na fabricação de peças fundidas de aço para diversas indústrias, como a automotiva, da construção, mineração, transporte pesado, geração de energia, e do setor petroleiro e metalúrgico. O portfólio de produtos da Empresa é composto por peças fundidas feitas de aço carbono e aço de baixa, média e alta liga, entre outros. A Empresa divide seus negócios em dois setores: Repetitivo e Personalizado. O setor Repetitivo é responsável pela produção em série de itens para montadoras de equipamentos autopropulsores, incluindo clientes que atuam no segmento de máquinas para construção e mineração. O setor Personalizado produz conjuntos e peças personalizadas.</v>
    <v>BVMF</v>
    <v>14.11</v>
    <v>1405</v>
    <v>45850</v>
    <v>226</v>
    <v>11050</v>
    <v>BRL</v>
    <v>ELECTRO ACO ALTONA S.A.</v>
    <v>ELECTRO ACO ALTONA S.A.</v>
    <v>14.2</v>
    <v>14.3</v>
    <v>Rua Eng. Paul Werner 925,CONTABILIDADE, itoupava Seca, BLUMENAU, SANTA CATARINA, 89.030-900 BR</v>
    <v>Metals &amp; Mining</v>
    <v>EALT4</v>
    <v>Ações</v>
    <v>ELECTRO ACO ALTONA S.A. (BVMF:EALT4)</v>
    <v>0.19</v>
    <v>1.3466000000000001E-2</v>
    <v>6200</v>
  </rv>
  <rv s="2">
    <v>227</v>
  </rv>
  <rv s="0">
    <v>https://www.bing.com/financeapi/forcetrigger?t=apmoww&amp;q=BVMF%3aGRND3&amp;form=skydnc</v>
    <v>Learn more on Bing</v>
  </rv>
  <rv s="8">
    <v>pt-BR</v>
    <v>apmoww</v>
    <v>268435456</v>
    <v>1</v>
    <v>Da plataforma Refinitiv</v>
    <v>14</v>
    <v>15</v>
    <v>Grendene S.A. (BVMF:GRND3)</v>
    <v>12</v>
    <v>16</v>
    <v>Finance</v>
    <v>5</v>
    <v>5.82</v>
    <v>4.55</v>
    <v>BVMF</v>
    <v>902160000</v>
    <v>5.35</v>
    <v>1971</v>
    <v>5.28</v>
    <v>0.87109999999999999</v>
    <v>B3 - Brazil Stock Exchange</v>
    <v>4808513000</v>
    <v>A GRENDENE S.A. é uma empresa no Brasil, que atua principalmente na produção e venda de calçados sintéticos para mercados nacionais e estrangeiros. As atividades da empresa são divididas em dois segmentos de negócios: calçados e móveis. A divisão de calçados desenvolve, fabrica, distribui e vende sapatos para vários usos e para todas as classes sociais, nos segmentos de mercado de massa masculino, feminino e infantil. O seu portfólio de marcas inclui Rider, Ipanema, Zaxi, Grendha, Grendene Kids e Melissa, dentre outros. A divisão de móveis concentra-se na venda, importação e exportação de móveis e suplementos feitos de plástico. A empresa comercializa seus produtos por meio de representantes comerciais, distribuidores e exportação direta. Ela opera diversas fábricas no Brasil. Controla a Grendene Argentina S.A., a MHL Calçados Ltda. e a Grendene USA Inc, dentre outras.</v>
    <v>BVMF</v>
    <v>5.34</v>
    <v>17370</v>
    <v>45850</v>
    <v>229</v>
    <v>3814550</v>
    <v>BRL</v>
    <v>Grendene S.A.</v>
    <v>Grendene S.A.</v>
    <v>5.35</v>
    <v>5.31</v>
    <v>Avenida Pimentel Gomes 214, Expectativa, SOBRAL, CEARA, 62.040-125 BR</v>
    <v>Textiles &amp; Apparel</v>
    <v>GRND3</v>
    <v>Ações</v>
    <v>Grendene S.A. (BVMF:GRND3)</v>
    <v>-0.03</v>
    <v>-5.6179999999999997E-3</v>
    <v>3766400</v>
  </rv>
  <rv s="2">
    <v>230</v>
  </rv>
  <rv s="0">
    <v>https://www.bing.com/financeapi/forcetrigger?t=apm3ar&amp;q=BVMF%3aBPAN4&amp;form=skydnc</v>
    <v>Learn more on Bing</v>
  </rv>
  <rv s="8">
    <v>pt-BR</v>
    <v>apm3ar</v>
    <v>268435456</v>
    <v>1</v>
    <v>Da plataforma Refinitiv</v>
    <v>14</v>
    <v>15</v>
    <v>BANCO PAN S.A. (BVMF:BPAN4)</v>
    <v>12</v>
    <v>17</v>
    <v>Finance</v>
    <v>5</v>
    <v>10.55</v>
    <v>6.14</v>
    <v>BVMF</v>
    <v>611509500</v>
    <v>7.52</v>
    <v>1966</v>
    <v>7.32</v>
    <v>1.5395000000000001</v>
    <v>B3 - Brazil Stock Exchange</v>
    <v>4543515585</v>
    <v>O Banco Pan SA, anteriormente Banco Panamericano SA, é um banco comercial com sede no Brasil. A oferta inclui uma gama de serviços, tais como empréstimos pessoais e de automóveis, crédito imobiliário, cartões de crédito, máquinas de ponto de venda (POS), pré-pagamento, educação financeira e vários tipos de seguros. A Companhia atua através de dois segmentos principais: Finanças do Consumidor e Serviços Bancários. O segmento de Finanças do Consumidor fornece aos clientes, por exemplo, crédito pessoal e financiamento de veículos. O segmento de Serviços Bancários é responsável pela prestação de seguros, contas digitais e cartões de crédito. O Banco possui inúmeras subsidiárias, incluindo a Companhia de Securitizacao Brasileira e a Brazilian Finance &amp; Real Estate S.A.</v>
    <v>BVMF</v>
    <v>7.4</v>
    <v>2433</v>
    <v>45849.837500022659</v>
    <v>232</v>
    <v>1193840</v>
    <v>BRL</v>
    <v>BANCO PAN S.A.</v>
    <v>BANCO PAN S.A.</v>
    <v>7.4</v>
    <v>7.43</v>
    <v>Avenida Paulista, 1374 16 andar, Bela Vista, SAO PAULO, SAO PAULO, 01.310-100 BR</v>
    <v>Banking Services</v>
    <v>BPAN4</v>
    <v>Ações</v>
    <v>BANCO PAN S.A. (BVMF:BPAN4)</v>
    <v>0.03</v>
    <v>4.0539999999999994E-3</v>
    <v>817500</v>
  </rv>
  <rv s="2">
    <v>233</v>
  </rv>
  <rv s="0">
    <v>https://www.bing.com/financeapi/forcetrigger?t=apnlim&amp;q=BVMF%3aWEGE3&amp;form=skydnc</v>
    <v>Learn more on Bing</v>
  </rv>
  <rv s="8">
    <v>pt-BR</v>
    <v>apnlim</v>
    <v>268435456</v>
    <v>1</v>
    <v>Da plataforma Refinitiv</v>
    <v>14</v>
    <v>15</v>
    <v>WEG S.A. (BVMF:WEGE3)</v>
    <v>12</v>
    <v>16</v>
    <v>Finance</v>
    <v>5</v>
    <v>59.14</v>
    <v>39.19</v>
    <v>BVMF</v>
    <v>4197318000</v>
    <v>40.08</v>
    <v>1961</v>
    <v>39.369999999999997</v>
    <v>0.33110000000000001</v>
    <v>B3 - Brazil Stock Exchange</v>
    <v>166843400000</v>
    <v>A WEG SA é uma holding sediada no Brasil que tem por objetivo principal a fabricação de equipamentos e componentes elétricos. A Companhia atua, juntamente com suas subsidiárias, na fabricação e comercialização de mercadorias, tais como motores elétricos, geradores e transformadores; redutores, redutores de engrenagem, inversores de frequência, motores de partida e dispositivos de manobra; controle e proteção de circuitos elétricos e automação industrial; soluções de tração elétrica (terrestre e marítima); soluções para geração de energia renovável e distribuída, explorando todas as oportunidades em pequenas centrais hidrelétricas e fontes de biomassa térmica, eólica e solar; no-breaks e alternadores para grupos de geradores; subestações elétricas; sistemas de equipamentos elétricos e eletrônicos industriais e tintas e vernizes industriais. Atua no Brasil, Argentina, México, Estados Unidos, Portugal, Áustria, África do Sul, Índia e China. Opera por meio da Bluffton Motor Works LLC.</v>
    <v>BVMF</v>
    <v>39.9</v>
    <v>47529</v>
    <v>45850</v>
    <v>235</v>
    <v>8112590</v>
    <v>BRL</v>
    <v>WEG S.A.</v>
    <v>WEG S.A.</v>
    <v>39.86</v>
    <v>39.450000000000003</v>
    <v>Av. Prefeito Waldemar Grubba,3300, Vila Lalau, JARAGUA DO SUL, SANTA CATARINA, 89.256-900 BR</v>
    <v>Machinery, Equipment &amp; Components</v>
    <v>WEGE3</v>
    <v>Ações</v>
    <v>WEG S.A. (BVMF:WEGE3)</v>
    <v>-0.45</v>
    <v>-1.1278E-2</v>
    <v>11076600</v>
  </rv>
  <rv s="2">
    <v>236</v>
  </rv>
  <rv s="0">
    <v>https://www.bing.com/financeapi/forcetrigger?t=apmgoc&amp;q=BVMF%3aEGIE3&amp;form=skydnc</v>
    <v>Learn more on Bing</v>
  </rv>
  <rv s="8">
    <v>pt-BR</v>
    <v>apmgoc</v>
    <v>268435456</v>
    <v>1</v>
    <v>Da plataforma Refinitiv</v>
    <v>14</v>
    <v>15</v>
    <v>ENGIE BRASIL ENERGIA S.A. (BVMF:EGIE3)</v>
    <v>12</v>
    <v>16</v>
    <v>Finance</v>
    <v>5</v>
    <v>49.19</v>
    <v>33.65</v>
    <v>BVMF</v>
    <v>815927700</v>
    <v>42.17</v>
    <v>1998</v>
    <v>41.45</v>
    <v>0.5756</v>
    <v>B3 - Brazil Stock Exchange</v>
    <v>33926280000</v>
    <v>A ENGIE Brasil Energia S.A., anteriormente Tractebel Energia S.A., é uma concessionária de serviços públicos independente. A Companhia atua no ramo de geração e comercialização de energia elétrica. A empresa desenvolve e opera usinas de energia. A Companhia instala e opera usinas movidas a fontes convencionais de energia, como hidrelétricas, termelétricas e unidades complementares, pequenas centrais hidrelétricas e eólica, biomassa e fotovoltaica. A capacidade instalada da Companhia, incluindo suas participações em consórcios de geração de energia, é de aproximadamente 7.000 megawatts. O parque gerador em operação da Companhia é composto por 29 usinas, sendo nove hidrelétricas, sete termelétricas (três a carvão, três biomassa e uma a gás natural), três pequenas centrais hidrelétricas (PCH), nove eólicas e uma fotovoltaica Planta de energia solar. A Companhia é controlada pela ENGIE Brasil Participações Ltda.</v>
    <v>BVMF</v>
    <v>42.29</v>
    <v>1173</v>
    <v>45850</v>
    <v>238</v>
    <v>1422960</v>
    <v>BRL</v>
    <v>ENGIE BRASIL ENERGIA S.A.</v>
    <v>ENGIE BRASIL ENERGIA S.A.</v>
    <v>42.16</v>
    <v>41.6</v>
    <v>Rua Paschoal Apostolo Pitsica, 5064, Agronomica, FLORIANOPOLIS, SANTA CATARINA, 88.025-255 BR</v>
    <v>Electrical Utilities &amp; IPPs</v>
    <v>EGIE3</v>
    <v>Ações</v>
    <v>ENGIE BRASIL ENERGIA S.A. (BVMF:EGIE3)</v>
    <v>-0.69</v>
    <v>-1.6316000000000001E-2</v>
    <v>1287000</v>
  </rv>
  <rv s="2">
    <v>239</v>
  </rv>
  <rv s="0">
    <v>https://www.bing.com/financeapi/forcetrigger?t=apmsoc&amp;q=BVMF%3aJBSS3&amp;form=skydnc</v>
    <v>Learn more on Bing</v>
  </rv>
  <rv s="8">
    <v>pt-BR</v>
    <v>apmsoc</v>
    <v>268435456</v>
    <v>1</v>
    <v>Da plataforma Refinitiv</v>
    <v>14</v>
    <v>15</v>
    <v>JBS S.A. (BVMF:JBSS3)</v>
    <v>12</v>
    <v>17</v>
    <v>Finance</v>
    <v>5</v>
    <v>45.18</v>
    <v>23.88</v>
    <v>BVMF</v>
    <v>2218116000</v>
    <v>40.06</v>
    <v>1998</v>
    <v>38.4</v>
    <v>0.49909999999999999</v>
    <v>B3 - Brazil Stock Exchange</v>
    <v>86573080000</v>
    <v>A JBS SA é uma empresa brasileira que atua no setor de processamento de carne. As atividades da Companhia estão divididas em cinco segmentos de negócios: Brasil, Seara, JBS USA Beef, JBS USA Pork e PPC. O segmento Brasil é responsável pelo processamento de bovinos; produção e venda de subprodutos, como couros e couro; e produção de produtos cuja matéria-prima provém dos subprodutos do abate, como biodiesel, colágeno, higiene e limpeza. A divisão Saera concentra-se na produção e exportação de frango e porco. O segmento JBS USA Beef está envolvido na produção e distribuição de carne bovina, cordeiro e alimentos preparados nos Estados Unidos, Canadá e Austrália. A linha de porco JBS USA está envolvida no processamento e distribuição de carne suína. O PPC consiste em operações da Pilgrims Pride Corp, que está envolvida no processamento de frango e carne suína. A empresa opera no Brasil, nos Estados Unidos, no Canadá, na Austrália, no Reino Unido, França, México, Argentina e Paraguai, entre outros.</v>
    <v>BVMF</v>
    <v>38.29</v>
    <v>280000</v>
    <v>45814.958333333336</v>
    <v>241</v>
    <v>23419940</v>
    <v>BRL</v>
    <v>JBS S.A.</v>
    <v>JBS S.A.</v>
    <v>38.4</v>
    <v>39.03</v>
    <v>Av. Marginal Direita do Tiete, 500, Bloco 3 - 3 andar, Vila Jaguara, SAO PAULO, SAO PAULO, 05.118-100 BR</v>
    <v>Food &amp; Tobacco</v>
    <v>JBSS3</v>
    <v>Ações</v>
    <v>JBS S.A. (BVMF:JBSS3)</v>
    <v>0</v>
    <v>0</v>
    <v>94391100</v>
  </rv>
  <rv s="2">
    <v>242</v>
  </rv>
  <rv s="0">
    <v>https://www.bing.com/financeapi/forcetrigger?t=apn4m7&amp;q=BVMF%3aPFRM3&amp;form=skydnc</v>
    <v>Learn more on Bing</v>
  </rv>
  <rv s="8">
    <v>pt-BR</v>
    <v>apn4m7</v>
    <v>268435456</v>
    <v>1</v>
    <v>Da plataforma Refinitiv</v>
    <v>14</v>
    <v>15</v>
    <v>Profarma Distribuidora de Produtos Farmacêuticos S.A. (BVMF:PFRM3)</v>
    <v>12</v>
    <v>16</v>
    <v>Finance</v>
    <v>5</v>
    <v>9.15</v>
    <v>4.76</v>
    <v>BVMF</v>
    <v>123812800</v>
    <v>8.3000000000000007</v>
    <v>1961</v>
    <v>8.11</v>
    <v>1.2895000000000001</v>
    <v>B3 - Brazil Stock Exchange</v>
    <v>1026408111</v>
    <v>A A Profarma Distribuidora de Produtos Farmaceuticos SA é uma empresa sediada no Brasil que tem por objetivo principal o comércio atacadista de medicamentos. As atividades da Empresa estão divididas em dois segmentos: Distribuição Farmacêutica e Varejo. A divisão de Distribuição Farmacêutica é responsável pelo atacado de medicamentos e produtos de higiene pessoal e beleza para o varejo farmacêutico. A divisão Varejo tem como foco a gestão de uma rede de farmácias sob diversas marcas, como Drogasmil e Tamoio. Sua gama de produtos inclui medicamentos de prescrição, genéricos de venda livre (OTC), artigos de higiene pessoal e cosméticos, vacinas, produtos dermatológicos e farmacêuticos hospitalares, entre outros. As subsidiárias da Companhia incluem Farmadacta Informatica Ltda, Promovendas Representações Ltda, Interagile Propaganda e Promocoes Ltda e Locafarma Soluções de Transportes e Logística Ltda, entre outras.</v>
    <v>BVMF</v>
    <v>8.3000000000000007</v>
    <v>7077</v>
    <v>45850</v>
    <v>244</v>
    <v>225780</v>
    <v>BRL</v>
    <v>Profarma Distribuidora de Produtos Farmacêuticos S.A.</v>
    <v>Profarma Distribuidora de Produtos Farmacêuticos S.A.</v>
    <v>8.2799999999999994</v>
    <v>8.2899999999999991</v>
    <v>Avenida Ayrton Senna, 2150, Bloco P - 3 andar, Barra da Tijuca, RIO DE JANEIRO, RIO DE JANEIRO, 22.775-900 BR</v>
    <v>Pharmaceuticals</v>
    <v>PFRM3</v>
    <v>Ações</v>
    <v>Profarma Distribuidora de Produtos Farmacêuticos S.A. (BVMF:PFRM3)</v>
    <v>-0.01</v>
    <v>-1.2049999999999999E-3</v>
    <v>91800</v>
  </rv>
  <rv s="2">
    <v>245</v>
  </rv>
  <rv s="0">
    <v>https://www.bing.com/financeapi/forcetrigger?t=apmik2&amp;q=BVMF%3aEQTL3&amp;form=skydnc</v>
    <v>Learn more on Bing</v>
  </rv>
  <rv s="8">
    <v>pt-BR</v>
    <v>apmik2</v>
    <v>268435456</v>
    <v>1</v>
    <v>Da plataforma Refinitiv</v>
    <v>14</v>
    <v>15</v>
    <v>EQUATORIAL S.A. (BVMF:EQTL3)</v>
    <v>12</v>
    <v>16</v>
    <v>Finance</v>
    <v>5</v>
    <v>37.520000000000003</v>
    <v>25.65</v>
    <v>BVMF</v>
    <v>1254548000</v>
    <v>34.35</v>
    <v>1999</v>
    <v>33.869999999999997</v>
    <v>0.90920000000000001</v>
    <v>B3 - Brazil Stock Exchange</v>
    <v>43081178320</v>
    <v>A Equatorial SA, anteriormente equatorial Energia SA, é uma holding sediada no Brasil que atua no setor de energia elétrica por meio de suas subsidiárias. É uma provedora de serviços de geração, comercialização, transmissão e distribuição, bem como serviços de saneamento e telecomunicações. As operações da Equatorial estão divididas em cinco segmentos econômicos: Distribuição, Transmissão (que inclui oito linhas de transmissão), Serviços (referentes às atividades de serviços prestados pela Equatorial Servicos SA e suas subsidiárias), outros, e Geração e Marketing. As principais operações da Companhia são realizadas por meio de subsidiárias localizadas nas regiões Nordeste, Norte, Centro-Oeste, Sudeste e Sul do Brasil.</v>
    <v>BVMF</v>
    <v>34.44</v>
    <v>1178</v>
    <v>45850</v>
    <v>247</v>
    <v>5793670</v>
    <v>BRL</v>
    <v>EQUATORIAL S.A.</v>
    <v>EQUATORIAL S.A.</v>
    <v>34.22</v>
    <v>34.340000000000003</v>
    <v>Alameda A, Quadra SQS, n 100, Loteamento Quitandinha Anexo A, sala 31, Altos do Calhau, SAO LUIS, MARANHAO, 65.070-900 BR</v>
    <v>Electrical Utilities &amp; IPPs</v>
    <v>EQTL3</v>
    <v>Ações</v>
    <v>EQUATORIAL S.A. (BVMF:EQTL3)</v>
    <v>-0.1</v>
    <v>-2.9039999999999999E-3</v>
    <v>6130000</v>
  </rv>
  <rv s="2">
    <v>248</v>
  </rv>
  <rv s="0">
    <v>https://www.bing.com/financeapi/forcetrigger?t=bqyxtc&amp;q=BVMF%3aNEOE3&amp;form=skydnc</v>
    <v>Learn more on Bing</v>
  </rv>
  <rv s="8">
    <v>pt-BR</v>
    <v>bqyxtc</v>
    <v>268435456</v>
    <v>1</v>
    <v>Da plataforma Refinitiv</v>
    <v>14</v>
    <v>15</v>
    <v>NEOENERGIA S.A. (BVMF:NEOE3)</v>
    <v>12</v>
    <v>17</v>
    <v>Finance</v>
    <v>5</v>
    <v>26.19</v>
    <v>17.13</v>
    <v>BVMF</v>
    <v>1213797000</v>
    <v>24.49</v>
    <v>1996</v>
    <v>24.07</v>
    <v>0.76019999999999999</v>
    <v>B3 - Brazil Stock Exchange</v>
    <v>29410301310</v>
    <v>A Neoenergia SA é uma holding sediada no Brasil que atua principalmente no setor de energia elétrica. A Companhia atua na distribuição, transmissão, geração e comercialização de energia elétrica. As subsidiárias da Companhia incluem a Companhia de Eletricidade do Estado da Bahia Coelba (COELBA), que atua na distribuição de energia elétrica no Estado da Bahia; Companhia Energética de Pernambuco CELPE, que tem por objeto a distribuição de energia elétrica no Estado de Pernambuco; Companhia Energética do Rio Grande do Norte COSERN, distribuidora de energia elétrica no Estado do Rio Grande do Norte; Afluente Geração de Energia Elétrica SA, ativa na geração de energia por meio de hidrelétricas, a Termopernambuco SA, que atua na geração de energia por meio de uma termelétrica, e a Elektro Holding SA, que tem como foco a distribuição de energia elétrica nos Estados de São Paulo e Mato Grosso do Sul, entre outros.</v>
    <v>BVMF</v>
    <v>24.34</v>
    <v>11746</v>
    <v>45849.838788541405</v>
    <v>250</v>
    <v>730880</v>
    <v>BRL</v>
    <v>NEOENERGIA S.A.</v>
    <v>NEOENERGIA S.A.</v>
    <v>24.33</v>
    <v>24.23</v>
    <v>Praia do Flamengo, 78, 3 andar, Flamengo, RIO DE JANEIRO, RIO DE JANEIRO, 22.210-030 BR</v>
    <v>Electrical Utilities &amp; IPPs</v>
    <v>NEOE3</v>
    <v>Ações</v>
    <v>NEOENERGIA S.A. (BVMF:NEOE3)</v>
    <v>-0.11</v>
    <v>-4.5190000000000004E-3</v>
    <v>938500</v>
  </rv>
  <rv s="2">
    <v>251</v>
  </rv>
  <rv s="0">
    <v>https://www.bing.com/financeapi/forcetrigger?t=apn5im&amp;q=BVMF%3aPOSI3&amp;form=skydnc</v>
    <v>Learn more on Bing</v>
  </rv>
  <rv s="8">
    <v>pt-BR</v>
    <v>apn5im</v>
    <v>268435456</v>
    <v>1</v>
    <v>Da plataforma Refinitiv</v>
    <v>14</v>
    <v>15</v>
    <v>POSITIVO TECNOLOGIA S.A. (BVMF:POSI3)</v>
    <v>12</v>
    <v>17</v>
    <v>Finance</v>
    <v>5</v>
    <v>8.2899999999999991</v>
    <v>4.18</v>
    <v>BVMF</v>
    <v>141800000</v>
    <v>4.8099999999999996</v>
    <v>1989</v>
    <v>4.62</v>
    <v>1.873</v>
    <v>B3 - Brazil Stock Exchange</v>
    <v>655116000</v>
    <v>A Positivo Tecnologia SA, anteriormente Positivo Informatica SA é uma empresa de tecnologia sediada no Brasil, especializada no desenvolvimento e fabricação de tecnologia baseada em hardware. A empresa está envolvida principalmente na industrialização, comercialização e desenvolvimento de projetos na área de Tecnologia da Informação (TI); industrialização, venda e locação de software e hardware; bem como na venda de EQUIPAMENTOS DE TI, como computadores tudo-em-um, notebooks, netbooks e tablets, sistemas de software educacional e uma variedade de produtos de Internet Things (IoT). A Positivo Tecnologia também está ativa no mercado de telefonia móvel, oferecendo smartphones e telefones de feature. A Companhia atua através de três segmentos principais: Varejo, Governo e Corporativo. A Positivo Tecnologia SA possui diversas subsidiárias, incluindo a Positivo Argentina SRL, a Crienal SA e a Positivo Distribuicao e Comercio Ltda.</v>
    <v>BVMF</v>
    <v>4.76</v>
    <v>7000</v>
    <v>45849.83819489531</v>
    <v>253</v>
    <v>772800</v>
    <v>BRL</v>
    <v>POSITIVO TECNOLOGIA S.A.</v>
    <v>POSITIVO TECNOLOGIA S.A.</v>
    <v>4.78</v>
    <v>4.62</v>
    <v>Rua Joao Bettega, 5200, Nao aplicavel, Cidade Industrial, CURITIBA, PARANA, 81.350-000 BR</v>
    <v>Computers, Phones &amp; Household Electronics</v>
    <v>POSI3</v>
    <v>Ações</v>
    <v>POSITIVO TECNOLOGIA S.A. (BVMF:POSI3)</v>
    <v>-0.14000000000000001</v>
    <v>-2.9411999999999997E-2</v>
    <v>679800</v>
  </rv>
  <rv s="2">
    <v>254</v>
  </rv>
  <rv s="0">
    <v>https://www.bing.com/financeapi/forcetrigger?t=bxk8w7&amp;q=BVMF%3aWEST3&amp;form=skydnc</v>
    <v>Learn more on Bing</v>
  </rv>
  <rv s="9">
    <v>pt-BR</v>
    <v>bxk8w7</v>
    <v>268435456</v>
    <v>1</v>
    <v>Da plataforma Refinitiv</v>
    <v>18</v>
    <v>19</v>
    <v>WESTWING COMÉRCIO VAREJISTA S.A. (BVMF:WEST3)</v>
    <v>12</v>
    <v>27</v>
    <v>Finance</v>
    <v>5</v>
    <v>9.6999999999999993</v>
    <v>3.55</v>
    <v>BVMF</v>
    <v>11109350</v>
    <v>3.57</v>
    <v>2012</v>
    <v>3.56</v>
    <v>1.1556</v>
    <v>B3 - Brazil Stock Exchange</v>
    <v>39660380</v>
    <v>A Westwing Comercio Varejista SA (Westwing) é uma varejista de artigos de decoração com sede no Brasil. A empresa comercializa principalmente móveis, artigos de decoração e acessórios. O portfólio de produtos inclui sofás, camas, cadeiras, mesas, estantes, travesseiros, tapetes, papéis de parede, utensílios de cozinha, além de roupas, cosméticos e produtos infantis, entre outros. O sortimento consiste em produtos de terceiros e de marca própria. A Firma opera por meio de uma plataforma de e-commerce, composta por aplicativos móveis e um website. A plataforma permite que o Westwing atinja clientes em todas as regiões do Brasil, com centro de distribuição na cidade de Jundiaí. Além disso, a Companhia possui lojas físicas localizadas na cidade de São Paulo.</v>
    <v>BVMF</v>
    <v>3.56</v>
    <v>45849.836806260937</v>
    <v>256</v>
    <v>4710</v>
    <v>BRL</v>
    <v>WESTWING COMÉRCIO VAREJISTA S.A.</v>
    <v>WESTWING COMÉRCIO VAREJISTA S.A.</v>
    <v>3.56</v>
    <v>3.57</v>
    <v>Av. Queiroz Filho, 1700 Torre A e B (partes), Vila Hamburguesa, Sao Paulo, SAO PAULO, 05.319-000 BR</v>
    <v>Specialty Retailers</v>
    <v>WEST3</v>
    <v>Ações</v>
    <v>WESTWING COMÉRCIO VAREJISTA S.A. (BVMF:WEST3)</v>
    <v>0.01</v>
    <v>2.8089999999999999E-3</v>
    <v>700</v>
  </rv>
  <rv s="2">
    <v>257</v>
  </rv>
  <rv s="0">
    <v>https://www.bing.com/financeapi/forcetrigger?t=apmwu2&amp;q=BVMF%3aMDIA3&amp;form=skydnc</v>
    <v>Learn more on Bing</v>
  </rv>
  <rv s="8">
    <v>pt-BR</v>
    <v>apmwu2</v>
    <v>268435456</v>
    <v>1</v>
    <v>Da plataforma Refinitiv</v>
    <v>14</v>
    <v>15</v>
    <v>M. Dias Branco S.A. Indústria e Comércio de Alimentos (BVMF:MDIA3)</v>
    <v>12</v>
    <v>16</v>
    <v>Finance</v>
    <v>5</v>
    <v>29.06</v>
    <v>18.61</v>
    <v>BVMF</v>
    <v>339000000</v>
    <v>27.26</v>
    <v>1951</v>
    <v>25.97</v>
    <v>0.90690000000000004</v>
    <v>B3 - Brazil Stock Exchange</v>
    <v>9068250000</v>
    <v>A M Dias Branco SA Industria e Comercio de Alimentos é uma empresa brasileira que atua principalmente na indústria de processamento de alimentos. A empresa tem como foco a industrialização, venda e distribuição de produtos alimentícios derivados do trigo, principalmente biscoitos, massas e farinha de trigo. Suas atividades incluem ainda a fabricação, venda e distribuição de gorduras vegetais e margarinas, bolos, misturas de bolos, torradas embaladas e lanches. A empresa atua através de um processo de produção integrado e vertical, produzindo farinha e gorduras vegetais utilizadas para a fabricação de biscoitos e massas. O portfólio de marcas da Companhia inclui Adria, basilar, Bonsabor, Fortaleza, Isabela, pilar, Predilleto, Richester, Salsito, Treloso, Vitarella e Zabet, entre outros. Possui uma série de unidades de produção e centros de distribuição no Brasil. A Companhia é uma subsidiária da Dibra Fundo de Investimento em Participações.</v>
    <v>BVMF</v>
    <v>27.07</v>
    <v>16277</v>
    <v>45850</v>
    <v>259</v>
    <v>871450</v>
    <v>BRL</v>
    <v>M. Dias Branco S.A. Indústria e Comércio de Alimentos</v>
    <v>M. Dias Branco S.A. Indústria e Comércio de Alimentos</v>
    <v>27.18</v>
    <v>26.75</v>
    <v>Rod Br 116 KM 18 S/N, Jabuti, EUSEBIO, CEARA, 61.760-000 BR</v>
    <v>Food &amp; Tobacco</v>
    <v>MDIA3</v>
    <v>Ações</v>
    <v>M. Dias Branco S.A. Indústria e Comércio de Alimentos (BVMF:MDIA3)</v>
    <v>-0.32</v>
    <v>-1.1821E-2</v>
    <v>1197400</v>
  </rv>
  <rv s="2">
    <v>260</v>
  </rv>
  <rv s="0">
    <v>https://www.bing.com/financeapi/forcetrigger?t=aplym7&amp;q=BVMF%3aBBDC4&amp;form=skydnc</v>
    <v>Learn more on Bing</v>
  </rv>
  <rv s="8">
    <v>pt-BR</v>
    <v>aplym7</v>
    <v>268435456</v>
    <v>1</v>
    <v>Da plataforma Refinitiv</v>
    <v>14</v>
    <v>15</v>
    <v>Banco Bradesco S.A. (BVMF:BBDC4)</v>
    <v>12</v>
    <v>17</v>
    <v>Finance</v>
    <v>5</v>
    <v>16.88</v>
    <v>10.57</v>
    <v>BVMF</v>
    <v>10592010000</v>
    <v>16.11</v>
    <v>1943</v>
    <v>15.92</v>
    <v>1.506</v>
    <v>B3 - Brazil Stock Exchange</v>
    <v>158968300000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16.14</v>
    <v>83365</v>
    <v>45849.841951724222</v>
    <v>262</v>
    <v>24590720</v>
    <v>BRL</v>
    <v>Banco Bradesco S.A.</v>
    <v>Banco Bradesco S.A.</v>
    <v>16.04</v>
    <v>16.05</v>
    <v>Nucleo Cidade de Deus s/n, Vila Yara, OSASCO, SAO PAULO, 06.029-900 BR</v>
    <v>Banking Services</v>
    <v>BBDC4</v>
    <v>Ações</v>
    <v>Banco Bradesco S.A. (BVMF:BBDC4)</v>
    <v>-0.09</v>
    <v>-5.5760000000000002E-3</v>
    <v>20924800</v>
  </rv>
  <rv s="2">
    <v>263</v>
  </rv>
  <rv s="0">
    <v>https://www.bing.com/financeapi/forcetrigger?t=apn75r&amp;q=BVMF%3aPSSA3&amp;form=skydnc</v>
    <v>Learn more on Bing</v>
  </rv>
  <rv s="8">
    <v>pt-BR</v>
    <v>apn75r</v>
    <v>268435456</v>
    <v>1</v>
    <v>Da plataforma Refinitiv</v>
    <v>14</v>
    <v>15</v>
    <v>Porto Seguro S.A. (BVMF:PSSA3)</v>
    <v>12</v>
    <v>17</v>
    <v>Finance</v>
    <v>5</v>
    <v>57.09</v>
    <v>27.54</v>
    <v>BVMF</v>
    <v>646586100</v>
    <v>53.2</v>
    <v>1997</v>
    <v>51.93</v>
    <v>0.83919999999999995</v>
    <v>B3 - Brazil Stock Exchange</v>
    <v>33848780000</v>
    <v>A PORTO SEGURO S.A. é uma empresa estabelecida no Brasil, que atua principalmente no setor de seguros de automóveis. As atividades da empresa estão divididas em seis segmentos de negócios: seguro automóvel, que oferece produtos de seguro de automóveis; seguro e planos de saúde, que fornece apólices de seguro dentário e de saúde e planos de assistência médica; seguros de vida e planos de aposentadoria; outros seguros, que fornecem outras apólices de seguro do ramo "não vida"; financiamento, relacionado a transações de crédito e outros, que abrangem principalmente serviços de seguros fornecidos no Uruguai. Além disso, a empresa oferece uma gama de serviços não relacionados à atividade de seguro, como proteção e vigilância eletrônicas e distribuição de peças automotivas. A empresa é controlada pela Porto Seguro Itaú-Unibanco Participações S.A.</v>
    <v>BVMF</v>
    <v>53.06</v>
    <v>13700</v>
    <v>45849.838850312502</v>
    <v>265</v>
    <v>2032880</v>
    <v>BRL</v>
    <v>Porto Seguro S.A.</v>
    <v>Porto Seguro S.A.</v>
    <v>52.98</v>
    <v>52.35</v>
    <v>Alameda Barao de Piracicaba, 618/634 - Torre B, 11 andar, Campos Eliseos, SAO PAULO, SAO PAULO, 01.216-012 BR</v>
    <v>Insurance</v>
    <v>PSSA3</v>
    <v>Ações</v>
    <v>Porto Seguro S.A. (BVMF:PSSA3)</v>
    <v>-0.71</v>
    <v>-1.3381000000000001E-2</v>
    <v>1091300</v>
  </rv>
  <rv s="2">
    <v>266</v>
  </rv>
  <rv s="0">
    <v>https://www.bing.com/financeapi/forcetrigger?t=apn9ww&amp;q=BVMF%3aRNEW4&amp;form=skydnc</v>
    <v>Learn more on Bing</v>
  </rv>
  <rv s="8">
    <v>pt-BR</v>
    <v>apn9ww</v>
    <v>268435456</v>
    <v>1</v>
    <v>Da plataforma Refinitiv</v>
    <v>14</v>
    <v>15</v>
    <v>RENOVA ENERGIA S.A. - EM RECUPERAÇÃO JUDICIAL (BVMF:RNEW4)</v>
    <v>12</v>
    <v>16</v>
    <v>Finance</v>
    <v>5</v>
    <v>2.58</v>
    <v>0.85</v>
    <v>BVMF</v>
    <v>124061300</v>
    <v>0.99</v>
    <v>2006</v>
    <v>0.94</v>
    <v>1.3280000000000001</v>
    <v>B3 - Brazil Stock Exchange</v>
    <v>365364000</v>
    <v>A Renova Energia SA em Recuperacao Judicial é uma empresa brasileira que atua no desenvolvimento, implementação e operação de projetos de geração de energia a partir de fontes renováveis, incluindo eólica, pequenas Usinas hidrelétricas (PCHs) e solar, bem como no comércio de energia e atividades afins. A Empresa está envolvida na geração e comercialização de energia elétrica em todas as suas formas; produção de energia elétrica a partir de fontes naturais e renováveis; prestação de serviços logísticos a empresas de consultoria ambiental; prestação de serviços de consultoria para soluções energéticas relacionadas com a geração, comercialização, transmissão e outros negócios envolvendo energias alternativas; fornecimento de engenharia, construção, logística, desenvolvimento de estudos, desenvolvimento de energia elétrica e desenvolvimento de energia elétrica. e serviços de projeto relacionados a usinas de geração de energia, bem como sua implementação, operação, manutenção e exploração.</v>
    <v>BVMF</v>
    <v>0.93</v>
    <v>141</v>
    <v>45850</v>
    <v>268</v>
    <v>64180</v>
    <v>BRL</v>
    <v>RENOVA ENERGIA S.A. - EM RECUPERAÇÃO JUDICIAL</v>
    <v>RENOVA ENERGIA S.A. - EM RECUPERAÇÃO JUDICIAL</v>
    <v>0.94</v>
    <v>0.99</v>
    <v>Avenida das Nacoes Unidas, n 10.989, conjunto 82, Vila Olimpia, SAO PAULO, SAO PAULO, 04.578-000 BR</v>
    <v>Electrical Utilities &amp; IPPs</v>
    <v>RNEW4</v>
    <v>Ações</v>
    <v>RENOVA ENERGIA S.A. - EM RECUPERAÇÃO JUDICIAL (BVMF:RNEW4)</v>
    <v>0.06</v>
    <v>6.4516000000000004E-2</v>
    <v>252900</v>
  </rv>
  <rv s="2">
    <v>269</v>
  </rv>
  <rv s="0">
    <v>https://www.bing.com/financeapi/forcetrigger?t=apniz2&amp;q=BVMF%3aUNIP6&amp;form=skydnc</v>
    <v>Learn more on Bing</v>
  </rv>
  <rv s="8">
    <v>pt-BR</v>
    <v>apniz2</v>
    <v>268435456</v>
    <v>1</v>
    <v>Da plataforma Refinitiv</v>
    <v>14</v>
    <v>15</v>
    <v>UNIPAR CARBOCLORO S.A. (BVMF:UNIP6)</v>
    <v>12</v>
    <v>16</v>
    <v>Finance</v>
    <v>5</v>
    <v>61.95</v>
    <v>39.700000000000003</v>
    <v>BVMF</v>
    <v>113173300</v>
    <v>60.09</v>
    <v>1969</v>
    <v>58.2</v>
    <v>1.2448999999999999</v>
    <v>B3 - Brazil Stock Exchange</v>
    <v>6345406000</v>
    <v>A Unipar Carbocloro S.A. é uma empresa holding com sede no Brasil, que se dedica principalmente à indústria química. Por meio de seu investimento na entidade Carbocloro SA Indústrias Químicas, a Empresa está envolvida na produção de cloro líquido, ácido clorídrico, dicloreto de etileno, hipoclorito de sódio, soda cáustica líquida e em flocos. Adicionalmente, a Empresa está envolvida na fabricação de pás de turbinas eólicas e sistemas de ventilação turnkey, por meio de sua empresa afiliada Tecsis Tecnologia e Sistemas Avançados SA. Ela opera por meio da Solvay Indupa.</v>
    <v>BVMF</v>
    <v>60.08</v>
    <v>1400</v>
    <v>45850</v>
    <v>271</v>
    <v>117660</v>
    <v>BRL</v>
    <v>UNIPAR CARBOCLORO S.A.</v>
    <v>UNIPAR CARBOCLORO S.A.</v>
    <v>60.09</v>
    <v>58.9</v>
    <v>Avenida Presidente Juscelino Kubitschek, n 1327, 22 andar, Itaim Bibi, SAO PAULO, SAO PAULO, 04.543-011 BR</v>
    <v>Chemicals</v>
    <v>UNIP6</v>
    <v>Ações</v>
    <v>UNIPAR CARBOCLORO S.A. (BVMF:UNIP6)</v>
    <v>-1.18</v>
    <v>-1.9640000000000001E-2</v>
    <v>128100</v>
  </rv>
  <rv s="2">
    <v>272</v>
  </rv>
  <rv s="0">
    <v>https://www.bing.com/financeapi/forcetrigger?t=apmjgh&amp;q=BVMF%3aEZTC3&amp;form=skydnc</v>
    <v>Learn more on Bing</v>
  </rv>
  <rv s="8">
    <v>pt-BR</v>
    <v>apmjgh</v>
    <v>268435456</v>
    <v>1</v>
    <v>Da plataforma Refinitiv</v>
    <v>14</v>
    <v>15</v>
    <v>EZ TEC Empreendimentos e Participações S.A. (BVMF:EZTC3)</v>
    <v>12</v>
    <v>16</v>
    <v>Finance</v>
    <v>5</v>
    <v>15.68</v>
    <v>10.210000000000001</v>
    <v>BVMF</v>
    <v>220989100</v>
    <v>13.37</v>
    <v>2006</v>
    <v>13.11</v>
    <v>1.6527000000000001</v>
    <v>B3 - Brazil Stock Exchange</v>
    <v>2930315466</v>
    <v>A EZ TEC Empreendimentos e Participações SA é uma empresa brasileira que atua na venda de imóveis na Grande São Paulo e na Região Metropolitana de São Paulo. A Companhia atua através de dois segmentos operacionais: Comercial e residencial. O segmento comercial inclui tanto projetos de escritórios comerciais, comercializados em formato semelhante aos residenciais, como lajes corporativas como EZ Towers e Esther Towers. O segmento residencial inclui projetos imobiliários residenciais. A EZ TEC Empreendimentos e Participações SA também é responsável pelos serviços de locação imobiliária, bem como outros serviços relacionados à construção, supervisão, estudos e projetos e a execução de qualquer obra de engenharia civil.</v>
    <v>BVMF</v>
    <v>13.26</v>
    <v>338</v>
    <v>45850</v>
    <v>274</v>
    <v>959630</v>
    <v>BRL</v>
    <v>EZ TEC Empreendimentos e Participações S.A.</v>
    <v>EZ TEC Empreendimentos e Participações S.A.</v>
    <v>13.19</v>
    <v>13.26</v>
    <v>Av. Republica do Libano,1.921, Ibirapuera, SAO PAULO, SAO PAULO, 04.501-002 BR</v>
    <v>Real Estate Operations</v>
    <v>EZTC3</v>
    <v>Ações</v>
    <v>EZ TEC Empreendimentos e Participações S.A. (BVMF:EZTC3)</v>
    <v>0</v>
    <v>0</v>
    <v>678200</v>
  </rv>
  <rv s="2">
    <v>275</v>
  </rv>
  <rv s="0">
    <v>https://www.bing.com/financeapi/forcetrigger?t=awjq77&amp;q=BVMF%3aSUZB3&amp;form=skydnc</v>
    <v>Learn more on Bing</v>
  </rv>
  <rv s="8">
    <v>pt-BR</v>
    <v>awjq77</v>
    <v>268435456</v>
    <v>1</v>
    <v>Da plataforma Refinitiv</v>
    <v>14</v>
    <v>15</v>
    <v>SUZANO S.A. (BVMF:SUZB3)</v>
    <v>12</v>
    <v>16</v>
    <v>Finance</v>
    <v>5</v>
    <v>64.709999999999994</v>
    <v>49.15</v>
    <v>BVMF</v>
    <v>1264118000</v>
    <v>50.1</v>
    <v>1987</v>
    <v>49.55</v>
    <v>0.35110000000000002</v>
    <v>B3 - Brazil Stock Exchange</v>
    <v>63016260000</v>
    <v>A Suzano SA, antiga Suzano Papel e Celulose SA, é uma empresa florestal sediada no Brasil. É um desenvolvedor de produtos feitos de florestas de eucalipto e um produtor verticalmente integrado de celulose e papel de eucalipto na América Latina. Seu objetivo é fabricar, comercializar, importar e exportar celulose, papel e outros produtos. O portfólio de produtos da empresa inclui papel de impressão e escrita revestidos e não revestidos, cartão, papel tissue, celulose de mercado e celulose fluff. As operações da Suzano são divididas em dois segmentos: Celulose e Papel. O segmento de Celulose inclui a produção e comercialização de celulose de eucalipto para o mercado externo, com o excedente destinado ao mercado interno, enquanto o segmento Papel abrange as atividades de produção e venda de papelão e tecidos não revestidos e revestidos. A Companhia possui inúmeras subsidiárias, incluindo o Terminal de Celulose de Santos Spe SA, FuturaGene Biotechnology Shanghai Co Ltd e a Suzano Pulp and Paper Europe SA.</v>
    <v>BVMF</v>
    <v>49.85</v>
    <v>56000</v>
    <v>45850</v>
    <v>277</v>
    <v>4293370</v>
    <v>BRL</v>
    <v>SUZANO S.A.</v>
    <v>SUZANO S.A.</v>
    <v>49.85</v>
    <v>49.74</v>
    <v>Av. Professor Magalhaes Neto,1752 - 10 andar, Salas 1009/1010/1011, Pituba, SALVADOR, BAHIA, 41.810-012 BR</v>
    <v>Paper &amp; Forest Products</v>
    <v>SUZB3</v>
    <v>Ações</v>
    <v>SUZANO S.A. (BVMF:SUZB3)</v>
    <v>-0.11</v>
    <v>-2.2070000000000002E-3</v>
    <v>3331300</v>
  </rv>
  <rv s="2">
    <v>278</v>
  </rv>
  <rv s="0">
    <v>https://www.bing.com/financeapi/forcetrigger?t=apm1nm&amp;q=BVMF%3aBMEB4&amp;form=skydnc</v>
    <v>Learn more on Bing</v>
  </rv>
  <rv s="8">
    <v>pt-BR</v>
    <v>apm1nm</v>
    <v>268435456</v>
    <v>1</v>
    <v>Da plataforma Refinitiv</v>
    <v>14</v>
    <v>15</v>
    <v>Banco Mercantil do Brasil S.A. (BVMF:BMEB4)</v>
    <v>12</v>
    <v>17</v>
    <v>Finance</v>
    <v>5</v>
    <v>43.25</v>
    <v>26.98</v>
    <v>BVMF</v>
    <v>104831600</v>
    <v>39.49</v>
    <v>1940</v>
    <v>39.04</v>
    <v>0.11749999999999999</v>
    <v>B3 - Brazil Stock Exchange</v>
    <v>3678435000</v>
    <v>O Banco Mercantil do Brasil S.A. é um banco de varejo brasileiro. Possui clientes individuais e corporativos. O Banco oferece gestão de ativos, investimentos em títulos, seguros, cartões de crédito e empréstimos, entre outros. Em 31 de dezembro de 2011, o Banco operava uma rede de 165 filiais e uma agência estrangeira nas Ilhas Cayman. Em 31 de dezembro de 2011, o Banco possuía oito subsidiárias: Banco Mercantil de Investimentos S.A.; Mercantil do Brasil Administradora e Corretora de Seguros e Previdência Privada S.A.; Mercantil do Brasil Corretora S.A. - Câmbio, Títulos e Valores Mobiliários; Mercantil do Brasil Distribuidora S.A. - Títulos e Valores Mobiliários; Mercantil do Brasil Financeira S.A. - Crédito, Financiamento e Investimentos; Mercantil do Brasil Imobiliária S.A.; Mercantil do Brasil Empreendimentos Imobiliários S.A.; e Mercantil do Brasil Leasing S.A. - Arrendamento Mercantil.</v>
    <v>BVMF</v>
    <v>39.200000000000003</v>
    <v>2958</v>
    <v>45849.836805624996</v>
    <v>280</v>
    <v>9680</v>
    <v>BRL</v>
    <v>Banco Mercantil do Brasil S.A.</v>
    <v>Banco Mercantil do Brasil S.A.</v>
    <v>39.200000000000003</v>
    <v>39.159999999999997</v>
    <v>Rua Rio De Janeiro, 680, Centro, BELO HORIZONTE, MINAS GERAIS, 30.160-912 BR</v>
    <v>Banking Services</v>
    <v>BMEB4</v>
    <v>Ações</v>
    <v>Banco Mercantil do Brasil S.A. (BVMF:BMEB4)</v>
    <v>-0.04</v>
    <v>-1.0199999999999999E-3</v>
    <v>7900</v>
  </rv>
  <rv s="2">
    <v>281</v>
  </rv>
  <rv s="0">
    <v>https://www.bing.com/financeapi/forcetrigger?t=apmb52&amp;q=BVMF%3aCPLE3&amp;form=skydnc</v>
    <v>Learn more on Bing</v>
  </rv>
  <rv s="8">
    <v>pt-BR</v>
    <v>apmb52</v>
    <v>268435456</v>
    <v>1</v>
    <v>Da plataforma Refinitiv</v>
    <v>14</v>
    <v>15</v>
    <v>Companhia Paranaense de Energia - Copel (BVMF:CPLE3)</v>
    <v>12</v>
    <v>16</v>
    <v>Finance</v>
    <v>5</v>
    <v>11.95</v>
    <v>7.57</v>
    <v>BVMF</v>
    <v>2982811000</v>
    <v>11.21</v>
    <v>1954</v>
    <v>11</v>
    <v>0.85680000000000001</v>
    <v>B3 - Brazil Stock Exchange</v>
    <v>34421700000</v>
    <v>A Companhia Paranaense de Energia, também conhecida como Copel, é uma empresa brasileira de energia elétrica. As atividades do escritório estão divididas em cinco segmentos: Geração e Transmissão de Energia (GET); Distribuição e Vendas de Energia (DIS); Telecomunicações (TEL); Gás; e Holding (HOL). O segmento GET inclui a geração de energia elétrica a partir de projetos hidráulicos, eólicos e térmicos; o transporte e transformação da energia gerada pela Companhia; e a construção, operação e manutenção de todas as subestações e linhas de transmissão de energia. O segmento DISs está focado na distribuição e venda de energia elétrica, e na operação e manutenção da infraestrutura de distribuição. O segmento TEL presta serviços de telecomunicações. O segmento de Gás está envolvido no serviço público de distribuição de gás natural canalizado. O SEGMENTO HOL consiste na participação em outras empresas. A Companhia atua no estado do Paraná.</v>
    <v>BVMF</v>
    <v>11.15</v>
    <v>4396</v>
    <v>45850</v>
    <v>283</v>
    <v>10141060</v>
    <v>BRL</v>
    <v>Companhia Paranaense de Energia - Copel</v>
    <v>Companhia Paranaense de Energia - Copel</v>
    <v>11.09</v>
    <v>11.21</v>
    <v>Rua Jose Izidoro Biazetto, 158, Orleans, CURITIBA, PARANA, 81.200-240 BR</v>
    <v>Electrical Utilities &amp; IPPs</v>
    <v>CPLE3</v>
    <v>Ações</v>
    <v>Companhia Paranaense de Energia - Copel (BVMF:CPLE3)</v>
    <v>0.06</v>
    <v>5.3810000000000004E-3</v>
    <v>3859800</v>
  </rv>
  <rv s="2">
    <v>284</v>
  </rv>
  <rv s="0">
    <v>https://www.bing.com/financeapi/forcetrigger?t=apn4dm&amp;q=BVMF%3aPETR3&amp;form=skydnc</v>
    <v>Learn more on Bing</v>
  </rv>
  <rv s="8">
    <v>pt-BR</v>
    <v>apn4dm</v>
    <v>268435456</v>
    <v>1</v>
    <v>Da plataforma Refinitiv</v>
    <v>14</v>
    <v>15</v>
    <v>Petróleo Brasileiro S.A. (Petrobras) (BVMF:PETR3)</v>
    <v>12</v>
    <v>16</v>
    <v>Finance</v>
    <v>5</v>
    <v>40.590000000000003</v>
    <v>30.84</v>
    <v>BVMF</v>
    <v>12888730000</v>
    <v>35.85</v>
    <v>1953</v>
    <v>35.33</v>
    <v>1.0316000000000001</v>
    <v>B3 - Brazil Stock Exchange</v>
    <v>441695300000</v>
    <v>A Petroleo Brasileiro SA Petrobras é uma empresa sediada no Brasil. A empresa é especializada na indústria de petróleo, gás natural e energia. A Empresa está envolvida na prospeção, perfuração, refino, processamento, comercialização e transporte de petróleo bruto da produção de campos petrolíferos onshore e offshore e de xisto ou outras rochas. Seus segmentos incluem Exploração e Produção (exploração, desenvolvimento e produção de petróleo bruto, líquidos de gás natural e gás natural); Refinação, Transporte, e Marketing (Refinação, logística, transporte, comercialização de produtos petrolíferos, exportação de etanol, processamento de xisto); Gás e Energia (transporte e comercialização de gás natural e importado); Biocombustíveis (produção de biodiesel e etanol); Distribuição (distribuição de combustível); e Corporate (funções administrativas e de apoio).</v>
    <v>BVMF</v>
    <v>35.33</v>
    <v>49185</v>
    <v>45850</v>
    <v>286</v>
    <v>19979930</v>
    <v>BRL</v>
    <v>Petróleo Brasileiro S.A. (Petrobras)</v>
    <v>Petróleo Brasileiro S.A. (Petrobras)</v>
    <v>35.36</v>
    <v>35.54</v>
    <v>Av. Republica do Chile, n 65, 24 andar, Centro, RIO DE JANEIRO, RIO DE JANEIRO, 20.031-912 BR</v>
    <v>Oil &amp; Gas</v>
    <v>PETR3</v>
    <v>Ações</v>
    <v>Petróleo Brasileiro S.A. (Petrobras) (BVMF:PETR3)</v>
    <v>0.21</v>
    <v>5.9440000000000005E-3</v>
    <v>6286500</v>
  </rv>
  <rv s="2">
    <v>287</v>
  </rv>
  <rv s="0">
    <v>https://www.bing.com/financeapi/forcetrigger?t=aplyjc&amp;q=BVMF%3aBBDC3&amp;form=skydnc</v>
    <v>Learn more on Bing</v>
  </rv>
  <rv s="8">
    <v>pt-BR</v>
    <v>aplyjc</v>
    <v>268435456</v>
    <v>1</v>
    <v>Da plataforma Refinitiv</v>
    <v>14</v>
    <v>15</v>
    <v>Banco Bradesco S.A. (BVMF:BBDC3)</v>
    <v>12</v>
    <v>17</v>
    <v>Finance</v>
    <v>5</v>
    <v>14.48</v>
    <v>9.69</v>
    <v>BVMF</v>
    <v>10592010000</v>
    <v>13.88</v>
    <v>1943</v>
    <v>13.69</v>
    <v>1.506</v>
    <v>B3 - Brazil Stock Exchange</v>
    <v>158968300000</v>
    <v>O Banco Bradesco SA, anteriormente Banco Brasileiro de Descontos SA, é uma empresa pública brasileira que atua no Grupo Setor de Serviços Bancários. A Companhia atua como um amplo banco comercial em termos de ativos totais, operações de crédito e volume de depósitos e financiamentos. A Companhia oferece uma gama de produtos e serviços bancários e financeiros, no Brasil e no exterior, para indivíduos e principais empresas e instituições nacionais e internacionais. Os produtos e serviços da Companhia abrangem operações bancárias e não bancárias, tais como: Empréstimos e adiantamentos, depósitos, emissão de cartões de crédito, consórcio, seguros, etc. capitalização, leasing, cobrança e processamento de pagamentos, planos de pensões complementares, gestão de ativos e serviços de intermediação e corretagem de valores mobiliários.</v>
    <v>BVMF</v>
    <v>13.88</v>
    <v>83365</v>
    <v>45849.838603310156</v>
    <v>289</v>
    <v>24590720</v>
    <v>BRL</v>
    <v>Banco Bradesco S.A.</v>
    <v>Banco Bradesco S.A.</v>
    <v>13.81</v>
    <v>13.83</v>
    <v>Nucleo Cidade de Deus s/n, Vila Yara, OSASCO, SAO PAULO, 06.029-900 BR</v>
    <v>Banking Services</v>
    <v>BBDC3</v>
    <v>Ações</v>
    <v>Banco Bradesco S.A. (BVMF:BBDC3)</v>
    <v>-0.05</v>
    <v>-3.6020000000000002E-3</v>
    <v>7899000</v>
  </rv>
  <rv s="2">
    <v>290</v>
  </rv>
  <rv s="0">
    <v>https://www.bing.com/financeapi/forcetrigger?t=apn5cw&amp;q=BVMF%3aPOMO4&amp;form=skydnc</v>
    <v>Learn more on Bing</v>
  </rv>
  <rv s="8">
    <v>pt-BR</v>
    <v>apn5cw</v>
    <v>268435456</v>
    <v>1</v>
    <v>Da plataforma Refinitiv</v>
    <v>14</v>
    <v>15</v>
    <v>MARCOPOLO S.A. (BVMF:POMO4)</v>
    <v>12</v>
    <v>16</v>
    <v>Finance</v>
    <v>5</v>
    <v>9.15</v>
    <v>5.52</v>
    <v>BVMF</v>
    <v>1136271000</v>
    <v>8.07</v>
    <v>1949</v>
    <v>7.91</v>
    <v>0.82509999999999994</v>
    <v>B3 - Brazil Stock Exchange</v>
    <v>8545649000</v>
    <v>A Marcopolo SA, anteriormente Marcopolo SA - Carrocerias e Onibus, é uma empresa com sede no Brasil que tem por objetivo principal a fabricação de ônibus. As atividades da Empresa estão divididas em dois segmentos de negócio: Industrial e Financeiro. A divisão Industrial concentra-se no projeto, produção e distribuição de carrocerias e peças de reposição. Suas linhas de produtos abrangem diversos modelos, entre ônibus, intermunicipais, urbanos e micro-ônibus, além de veículos comerciais leves (LCVs), comercializados com a marca Volare. A divisão Financeira é responsável pelo financiamento das operações por meio do Banco Moneo. Seus produtos financeiros incluem crédito pessoal e comercial, arrendamento mercantil com opção de compra, empréstimos de curto prazo e linhas de crédito. A Companhia opera por meio de várias subsidiárias no Brasil, Argentina, México, Canadá, África do Sul e China, entre outros.</v>
    <v>BVMF</v>
    <v>8.08</v>
    <v>16027</v>
    <v>45850</v>
    <v>292</v>
    <v>8566140</v>
    <v>BRL</v>
    <v>MARCOPOLO S.A.</v>
    <v>MARCOPOLO S.A.</v>
    <v>8.07</v>
    <v>8.0299999999999994</v>
    <v>Avenida Marcopolo,280, Planalto, CAXIAS DO SUL, RIO GRANDE DO SUL, 95.086-200 BR</v>
    <v>Automobiles &amp; Auto Parts</v>
    <v>POMO4</v>
    <v>Ações</v>
    <v>MARCOPOLO S.A. (BVMF:POMO4)</v>
    <v>-0.05</v>
    <v>-6.1879999999999999E-3</v>
    <v>6998200</v>
  </rv>
  <rv s="2">
    <v>293</v>
  </rv>
  <rv s="0">
    <v>https://www.bing.com/financeapi/forcetrigger?t=apnjsm&amp;q=BVMF%3aVALE3&amp;form=skydnc</v>
    <v>Learn more on Bing</v>
  </rv>
  <rv s="8">
    <v>pt-BR</v>
    <v>apnjsm</v>
    <v>268435456</v>
    <v>1</v>
    <v>Da plataforma Refinitiv</v>
    <v>14</v>
    <v>15</v>
    <v>VALE S.A. (BVMF:VALE3)</v>
    <v>12</v>
    <v>17</v>
    <v>Finance</v>
    <v>5</v>
    <v>62.34</v>
    <v>48.77</v>
    <v>BVMF</v>
    <v>4539008000</v>
    <v>56.22</v>
    <v>1943</v>
    <v>55.01</v>
    <v>0.77990000000000004</v>
    <v>B3 - Brazil Stock Exchange</v>
    <v>254184448000</v>
    <v>A Vale SA, antiga Companhia Vale do Rio Doce, é uma empresa brasileira de metal e mineração que atua principalmente na produção de minério de ferro e níquel. A empresa também produz pelotas de minério de ferro, cobre, metais do grupo platina (PGMs), ouro, prata e cobalto. A Vale está envolvida na exploração mineral verde em cinco países e opera sistemas logísticos no Brasil e em outras regiões do mundo, incluindo ferrovias, terminais marítimos e portos, que são integrados às operações de mineração. Além disso, a Vale possui centros de distribuição para apoiar a entrega de minério de ferro em todo o mundo. A Vale possui inúmeras subsidiárias, incluindo a Vale Logistica Uruguay SA, Vale Holdings BV, Vale Overseas Ltd As operações da Companhia no exterior abrangem aproximadamente 30 países.</v>
    <v>BVMF</v>
    <v>55.28</v>
    <v>64616</v>
    <v>45849.838730751566</v>
    <v>295</v>
    <v>25294550</v>
    <v>BRL</v>
    <v>VALE S.A.</v>
    <v>VALE S.A.</v>
    <v>55.2</v>
    <v>56</v>
    <v>Torre Oscar Niemeyer, Praia de Botafogo n 186 salas 1901 e outras, Botafogo, RIO DE JANEIRO, RIO DE JANEIRO, 34.855-000 BR</v>
    <v>Metals &amp; Mining</v>
    <v>VALE3</v>
    <v>Ações</v>
    <v>VALE S.A. (BVMF:VALE3)</v>
    <v>0.72</v>
    <v>1.3025E-2</v>
    <v>18292700</v>
  </rv>
  <rv s="2">
    <v>296</v>
  </rv>
  <rv s="0">
    <v>https://www.bing.com/financeapi/forcetrigger?t=apn7yc&amp;q=BVMF%3aRADL3&amp;form=skydnc</v>
    <v>Learn more on Bing</v>
  </rv>
  <rv s="8">
    <v>pt-BR</v>
    <v>apn7yc</v>
    <v>268435456</v>
    <v>1</v>
    <v>Da plataforma Refinitiv</v>
    <v>14</v>
    <v>15</v>
    <v>Raia Drogasil S/A (BVMF:RADL3)</v>
    <v>12</v>
    <v>16</v>
    <v>Finance</v>
    <v>5</v>
    <v>29.81</v>
    <v>13.5</v>
    <v>BVMF</v>
    <v>1718007000</v>
    <v>13.94</v>
    <v>1935</v>
    <v>13.64</v>
    <v>0.78539999999999999</v>
    <v>B3 - Brazil Stock Exchange</v>
    <v>23656960000</v>
    <v>A Raia Drogasil S/A é uma empresa sediada no Brasil, com sede em São Paulo. Sua principal atividade é a venda a varejo de produtos farmacêuticos e cosméticos, incluindo medicamentos de marca, medicamentos genéricos, medicamentos OTC (sem receita médica), não medicamentos (como produtos de higiene pessoal, cosméticos e dermocosméticos), e vários serviços. A Companhia tem presença em todas as unidades federais do país, demonstrando sua cobertura e acessibilidade. Além disso, a digitalização da jornada do cliente tem sido um fator crucial no crescimento da empresa, permitindo uma experiência de compra mais conveniente e eficiente. A expansão das farmácias físicas, aliada a soluções digitais, tem contribuído significativamente para o crescimento contínuo da Raia Drogasil no mercado brasileiro.</v>
    <v>BVMF</v>
    <v>13.94</v>
    <v>66275</v>
    <v>45850</v>
    <v>298</v>
    <v>12691090</v>
    <v>BRL</v>
    <v>Raia Drogasil S/A</v>
    <v>Raia Drogasil S/A</v>
    <v>13.94</v>
    <v>13.76</v>
    <v>Av. Corifeu de Azevedo Marques, 3.097, Butanta, SAO PAULO, SAO PAULO, 05.339-900 BR</v>
    <v>Food &amp; Drug Retailing</v>
    <v>RADL3</v>
    <v>Ações</v>
    <v>Raia Drogasil S/A (BVMF:RADL3)</v>
    <v>-0.18</v>
    <v>-1.2912E-2</v>
    <v>9517100</v>
  </rv>
  <rv s="2">
    <v>299</v>
  </rv>
  <rv s="0">
    <v>https://www.bing.com/financeapi/forcetrigger?t=c1s4lh&amp;q=BVMF%3aGGPS3&amp;form=skydnc</v>
    <v>Learn more on Bing</v>
  </rv>
  <rv s="8">
    <v>pt-BR</v>
    <v>c1s4lh</v>
    <v>268435456</v>
    <v>1</v>
    <v>Da plataforma Refinitiv</v>
    <v>14</v>
    <v>15</v>
    <v>GPS PARTICIPAÇÕES E EMPREENDIMENTOS S.A. (BVMF:GGPS3)</v>
    <v>12</v>
    <v>17</v>
    <v>Finance</v>
    <v>5</v>
    <v>19.11</v>
    <v>12.12</v>
    <v>BVMF</v>
    <v>677280700</v>
    <v>16.100000000000001</v>
    <v>2007</v>
    <v>15.57</v>
    <v>1.2830999999999999</v>
    <v>B3 - Brazil Stock Exchange</v>
    <v>10640080000</v>
    <v>A Gps Participações e Empreendimentos SA é uma holding com sede no Brasil que, por meio de suas subsidiárias, tem como objetivo principal a prestação de serviços de apoio ao negócio. As atividades da empresa estão divididas em quatro segmentos: Instalações, oferecendo uma gama de serviços de zeladoria, gestão de edifícios, apoio administrativo, bombeiros, manutenção de jardins e gestão de resíduos interiores; Serviços de Segurança, fornecendo segurança de eventos, segurança pessoal, escolta armada e combate a incêndio e prevenção; Logística interna, fornecendo mapeamento operacional e soluções customizáveis; Manutenção e Serviços Industriais, fornecimento de correias transportadoras, subestações elétricas, limpeza industrial, aquecimento, ventilação, refrigeração, ar condicionado, manutenção ferroviária, manutenção de rodovias, manutenção portuária e aeroportuária e manutenção de esgoto.</v>
    <v>BVMF</v>
    <v>16.07</v>
    <v>183000</v>
    <v>45849.838561955468</v>
    <v>301</v>
    <v>2936210</v>
    <v>BRL</v>
    <v>GPS PARTICIPAÇÕES E EMPREENDIMENTOS S.A.</v>
    <v>GPS PARTICIPAÇÕES E EMPREENDIMENTOS S.A.</v>
    <v>16</v>
    <v>15.71</v>
    <v>Av. Miguel Frias e Vasconcelos, n 1215 2 andar, Jaguare, SAO PAULO, SAO PAULO, 05.345-000 BR</v>
    <v>Professional &amp; Commercial Services</v>
    <v>GGPS3</v>
    <v>Ações</v>
    <v>GPS PARTICIPAÇÕES E EMPREENDIMENTOS S.A. (BVMF:GGPS3)</v>
    <v>-0.36</v>
    <v>-2.2402000000000002E-2</v>
    <v>3151900</v>
  </rv>
  <rv s="2">
    <v>302</v>
  </rv>
  <rv s="0">
    <v>https://www.bing.com/financeapi/forcetrigger?t=bvoyz2&amp;q=BVMF%3aHBSA3&amp;form=skydnc</v>
    <v>Learn more on Bing</v>
  </rv>
  <rv s="9">
    <v>pt-BR</v>
    <v>bvoyz2</v>
    <v>268435456</v>
    <v>1</v>
    <v>Da plataforma Refinitiv</v>
    <v>18</v>
    <v>19</v>
    <v>Hidrovias do Brasil S.A (BVMF:HBSA3)</v>
    <v>12</v>
    <v>27</v>
    <v>Finance</v>
    <v>5</v>
    <v>3.89</v>
    <v>1.47</v>
    <v>BVMF</v>
    <v>1360383000</v>
    <v>3.53</v>
    <v>2010</v>
    <v>3.41</v>
    <v>1.2403</v>
    <v>B3 - Brazil Stock Exchange</v>
    <v>4720529010</v>
    <v>A Hidrovias do Brasil SA é uma empresa sediada no Brasil que atua no setor de logística. O objeto social da Companhia consiste nas atividades de infraestrutura e logística hidroviária, rodoviária e multimodal, no Brasil e no exterior, e participações societárias em empresas que desenvolvem atividades similares. A Empresa também transporta mercadorias, constrói e explora portos, terminais de carga, estaleiros, oficinas e armazéns, presta serviços de logística, navega fluvial e marítima e armazena mercadorias, entre outros.</v>
    <v>BVMF</v>
    <v>3.55</v>
    <v>45849.838194918753</v>
    <v>304</v>
    <v>3119490</v>
    <v>BRL</v>
    <v>Hidrovias do Brasil S.A</v>
    <v>Hidrovias do Brasil S.A</v>
    <v>3.5</v>
    <v>3.47</v>
    <v>Rua Gilberto Sabino, 215 - 7 andar, SAO PAULO, SAO PAULO, 05.425-020 BR</v>
    <v>Freight &amp; Logistics Services</v>
    <v>HBSA3</v>
    <v>Ações</v>
    <v>Hidrovias do Brasil S.A (BVMF:HBSA3)</v>
    <v>-0.08</v>
    <v>-2.2534999999999999E-2</v>
    <v>1769100</v>
  </rv>
  <rv s="2">
    <v>305</v>
  </rv>
  <rv s="0">
    <v>https://www.bing.com/financeapi/forcetrigger?t=apm7gh&amp;q=BVMF%3aCCRO3&amp;form=skydnc</v>
    <v>Learn more on Bing</v>
  </rv>
  <rv s="8">
    <v>pt-BR</v>
    <v>apm7gh</v>
    <v>268435456</v>
    <v>1</v>
    <v>Da plataforma Refinitiv</v>
    <v>14</v>
    <v>15</v>
    <v>MOTIVA INFRAESTRUTURA DE MOBILIDADE S.A. (BVMF:MOTV3)</v>
    <v>12</v>
    <v>17</v>
    <v>Finance</v>
    <v>5</v>
    <v>14.1</v>
    <v>9.86</v>
    <v>BVMF</v>
    <v>2020000000</v>
    <v>13.22</v>
    <v>1998</v>
    <v>12.94</v>
    <v>1.0483</v>
    <v>B3 - Brazil Stock Exchange</v>
    <v>26138800000</v>
    <v>A MOTIVA INFRAESTRUTURA DE MOBILIDADE S.A., anteriormente conhecida como CCR S.A., é uma holding brasileira que atua no setor de operações de infraestrutura. A empresa, através de suas subsidiárias, é especializada em concessões de rodovias, mobilidade urbana e gestão aeroportuária. A Motiva é responsável pela administração e manutenção de uma extensa rede de rodovias, aeroportos e serviços de transporte de passageiros, incluindo metrôs, trens, veículos leves sobre trilhos (VLTs) e balsas. As operações da Motiva estão presentes em diversos estados brasileiros, como São Paulo, Rio de Janeiro, Mato Grosso do Sul, Bahia, Rio Grande do Sul e Santa Catarina. Entre suas principais subsidiárias estão a Concessionária Catarinense de Rodovias S.A, a CIIS - Companhia de Investimentos em Infraestrutura e Serviços, e a Concessionária das Linhas 5 e 17 do Metrô de São Paulo S.A.</v>
    <v>BVMF</v>
    <v>13.2</v>
    <v>17124</v>
    <v>45849.838194560158</v>
    <v>307</v>
    <v>6099220</v>
    <v>BRL</v>
    <v>MOTIVA INFRAESTRUTURA DE MOBILIDADE S.A.</v>
    <v>MOTIVA INFRAESTRUTURA DE MOBILIDADE S.A.</v>
    <v>13.01</v>
    <v>12.94</v>
    <v>Av. Dra. Ruth Cardoso, 8.501, 5 andar, Pinheiros, SAO PAULO, SAO PAULO, 05.425-070 BR</v>
    <v>Transport Infrastructure</v>
    <v>MOTV3</v>
    <v>Ações</v>
    <v>MOTIVA INFRAESTRUTURA DE MOBILIDADE S.A. (BVMF:MOTV3)</v>
    <v>-0.26</v>
    <v>-1.9696999999999999E-2</v>
    <v>6987400</v>
  </rv>
  <rv s="2">
    <v>308</v>
  </rv>
  <rv s="0">
    <v>https://www.bing.com/financeapi/forcetrigger?t=bvu6jc&amp;q=BVMF%3aMELK3&amp;form=skydnc</v>
    <v>Learn more on Bing</v>
  </rv>
  <rv s="8">
    <v>pt-BR</v>
    <v>bvu6jc</v>
    <v>268435456</v>
    <v>1</v>
    <v>Da plataforma Refinitiv</v>
    <v>14</v>
    <v>15</v>
    <v>Melnick Desenvolvimento Imobiliário S.A. (BVMF:MELK3)</v>
    <v>12</v>
    <v>17</v>
    <v>Finance</v>
    <v>5</v>
    <v>3.56</v>
    <v>2.38</v>
    <v>BVMF</v>
    <v>206269300</v>
    <v>3.52</v>
    <v>2010</v>
    <v>3.45</v>
    <v>0.94769999999999999</v>
    <v>B3 - Brazil Stock Exchange</v>
    <v>717817164</v>
    <v>Melnick Desenvolvimento Imobiliario SA, anteriormente Melnick Even Desenvolvimento Imobiliario SA é um desenvolvedor imobiliário com sede no Brasil. A Companhia atua por meio de dois segmentos operacionais: Incorporação e urbanismo. O segmento de incorporação refere-se ao desenvolvimento de projetos imobiliários na cidade de Porto Alegre. O segmento de urbanismo refere-se ao desenvolvimento de subdivisões e condomínios no estado do Rio Grande do Sul. O portfólio da empresa inclui projetos como Jazz New York, High Garden Rio Branco, Nilo Square Multi Office, Icon Assis Brasil Comercial, Grand Park Lindoia Office Park, Nilo Aquare Hotel Verso by Emiliano, bem como Reserva Bela Vista Gravatai e Residencial Praca do Sol.</v>
    <v>BVMF</v>
    <v>3.5</v>
    <v>458</v>
    <v>45849.838194964846</v>
    <v>310</v>
    <v>597010</v>
    <v>BRL</v>
    <v>Melnick Desenvolvimento Imobiliário S.A.</v>
    <v>Melnick Desenvolvimento Imobiliário S.A.</v>
    <v>3.52</v>
    <v>3.48</v>
    <v>Rua Carlos Trein Filho, n 551, N/A, Auxiliadora, Porto Alegre, RIO GRANDE DO SUL, 90.450-120 BR</v>
    <v>Homebuilding &amp; Construction Supplies</v>
    <v>MELK3</v>
    <v>Ações</v>
    <v>Melnick Desenvolvimento Imobiliário S.A. (BVMF:MELK3)</v>
    <v>-0.02</v>
    <v>-5.7140000000000003E-3</v>
    <v>189900</v>
  </rv>
  <rv s="2">
    <v>311</v>
  </rv>
  <rv s="0">
    <v>https://www.bing.com/financeapi/forcetrigger?t=apmb27&amp;q=BVMF%3aCPFE3&amp;form=skydnc</v>
    <v>Learn more on Bing</v>
  </rv>
  <rv s="8">
    <v>pt-BR</v>
    <v>apmb27</v>
    <v>268435456</v>
    <v>1</v>
    <v>Da plataforma Refinitiv</v>
    <v>14</v>
    <v>15</v>
    <v>CPFL ENERGIA S.A. (BVMF:CPFE3)</v>
    <v>12</v>
    <v>16</v>
    <v>Finance</v>
    <v>5</v>
    <v>41.48</v>
    <v>28.7</v>
    <v>BVMF</v>
    <v>1152254000</v>
    <v>38.46</v>
    <v>1998</v>
    <v>37.869999999999997</v>
    <v>0.66700000000000004</v>
    <v>B3 - Brazil Stock Exchange</v>
    <v>43854800000</v>
    <v>A CPFL Energia S.A. é uma holding. A Companhia, por meio de suas controladas, distribui, gera, transmite e comercializa energia elétrica no Brasil, bem como presta serviços relacionados à energia. Seus segmentos incluem Distribuição, Fontes de Geração Convencionais, Geração de Energia Renovável, Comercialização e Serviços. A Companhia opera seu segmento de distribuição por meio de suas oito distribuidoras. Sua capacidade instalada em geração convencional é de aproximadamente 2.200 megawatts (MW). A Companhia, por meio de sua controlada CPFL Geração, detém participação acionária em oito Usinas Hidrelétricas. Atua no segmento de geração de energia de fontes renováveis, como eólica, termelétricas a biomassa, PCHs e solar, por meio de sua subsidiária CPFL Renovaveis. A Companhia atua no segmento de comercialização (fornecimento competitivo de energia) por meio de sua subsidiária CPFL Brasil. A Companhia atua no segmento de serviços de valor agregado na prestação de serviços relacionados à energia elétrica.</v>
    <v>BVMF</v>
    <v>38.200000000000003</v>
    <v>6432</v>
    <v>45850</v>
    <v>313</v>
    <v>1158540</v>
    <v>BRL</v>
    <v>CPFL ENERGIA S.A.</v>
    <v>CPFL ENERGIA S.A.</v>
    <v>38.07</v>
    <v>38.06</v>
    <v>Rua Jorge de Figueiredo Correa,1632, parte, Jd Prof. Tarcilia, CAMPINAS, SAO PAULO, 13.087-397 BR</v>
    <v>Electrical Utilities &amp; IPPs</v>
    <v>CPFE3</v>
    <v>Ações</v>
    <v>CPFL ENERGIA S.A. (BVMF:CPFE3)</v>
    <v>-0.14000000000000001</v>
    <v>-3.6649999999999999E-3</v>
    <v>617900</v>
  </rv>
  <rv s="2">
    <v>314</v>
  </rv>
  <rv s="0">
    <v>https://www.bing.com/financeapi/forcetrigger?t=apnbbh&amp;q=BVMF%3aSBSP3&amp;form=skydnc</v>
    <v>Learn more on Bing</v>
  </rv>
  <rv s="8">
    <v>pt-BR</v>
    <v>apnbbh</v>
    <v>268435456</v>
    <v>1</v>
    <v>Da plataforma Refinitiv</v>
    <v>14</v>
    <v>15</v>
    <v>Companhia de Saneamento Básico do Estado de São Paulo - SABESP (BVMF:SBSP3)</v>
    <v>12</v>
    <v>17</v>
    <v>Finance</v>
    <v>5</v>
    <v>121.3</v>
    <v>77.97</v>
    <v>BVMF</v>
    <v>683509900</v>
    <v>112.64</v>
    <v>1973</v>
    <v>110.79</v>
    <v>0.87460000000000004</v>
    <v>B3 - Brazil Stock Exchange</v>
    <v>76300200000</v>
    <v>Companhia de Saneamento Basico do Estado de São Paulo - SABESP é uma provedora de serviços de água e esgoto. A Companhia presta serviços de água e esgoto a uma gama de clientes residenciais, comerciais, industriais e governamentais em mais de 375 municípios do estado de São Paulo, incluindo a cidade de São Paulo. Os segmentos da Companhia incluem água e esgoto. As atividades da Companhia compreendem abastecimento de água, serviços de esgoto sanitário, serviços de gestão e drenagem de águas pluviais urbanas, serviços de limpeza urbana, serviços de gestão de resíduos sólidos e atividades afins, incluindo o planejamento, operação, manutenção e comercialização de energia, e a comercialização de serviços, produtos, benefícios e direitos que direta ou indiretamente advêm de seus ativos, operações e atividades.</v>
    <v>BVMF</v>
    <v>112.01</v>
    <v>9700</v>
    <v>45849.838688483593</v>
    <v>316</v>
    <v>2589860</v>
    <v>BRL</v>
    <v>Companhia de Saneamento Básico do Estado de São Paulo - SABESP</v>
    <v>Companhia de Saneamento Básico do Estado de São Paulo - SABESP</v>
    <v>111.33</v>
    <v>111.63</v>
    <v>Rua Costa Carvalho, n 300 Diretoria F, Pinheiros, SAO PAULO, SAO PAULO, 05.429-900 BR</v>
    <v>Water Utilities</v>
    <v>SBSP3</v>
    <v>Ações</v>
    <v>Companhia de Saneamento Básico do Estado de São Paulo - SABESP (BVMF:SBSP3)</v>
    <v>-0.38</v>
    <v>-3.3929999999999997E-3</v>
    <v>1553100</v>
  </rv>
  <rv s="2">
    <v>317</v>
  </rv>
  <rv s="0">
    <v>https://www.bing.com/financeapi/forcetrigger?t=c1s4zr&amp;q=BVMF%3aSOJA3&amp;form=skydnc</v>
    <v>Learn more on Bing</v>
  </rv>
  <rv s="9">
    <v>pt-BR</v>
    <v>c1s4zr</v>
    <v>268435456</v>
    <v>1</v>
    <v>Da plataforma Refinitiv</v>
    <v>18</v>
    <v>19</v>
    <v>Boa Safra Sementes S.A. (BVMF:SOJA3)</v>
    <v>12</v>
    <v>27</v>
    <v>Finance</v>
    <v>5</v>
    <v>15.42</v>
    <v>9.5500000000000007</v>
    <v>BVMF</v>
    <v>135322100</v>
    <v>11.17</v>
    <v>2009</v>
    <v>10.83</v>
    <v>0.63009999999999999</v>
    <v>B3 - Brazil Stock Exchange</v>
    <v>1511548000</v>
    <v>A Boa Safra Sementes SA é uma companhia sediada no Brasil que atua no mercado de vendas de sementes. A Companhia possui um portfólio de sementes de soja, milho e feijão, oferecendo tratamentos com componentes químicos e genéticos. A Companhia possui Unidades de Beneficiamento de Sementes (UBS). O processamento e beneficiamento consistem na limpeza, secagem, padronização e separação das sementes. O Tratamento de Sementes Industrial consiste em dois tipos: adição de componentes químicos que podem variar de acordo com a demanda do cliente (TSI 1ª Geração), e o TSI 1ª Geração acrescido de um composto de cinco moléculas (TSI Completo). Esse tratamento oferece maior nível de produtividade, segurança, eficiência e precisão da safra por meio do controle de espectro de pragas e doenças iniciais, além da manutenção do estande de plantas. Os clientes podem optar por adquirir as sementes processadas ou as sementes processadas e tratadas com o TSI 1ª Geração ou com o TSI Completo.</v>
    <v>BVMF</v>
    <v>11.05</v>
    <v>45849.837500103909</v>
    <v>319</v>
    <v>370750</v>
    <v>BRL</v>
    <v>Boa Safra Sementes S.A.</v>
    <v>Boa Safra Sementes S.A.</v>
    <v>10.83</v>
    <v>11.17</v>
    <v>Avenida Circular 209, Setor Industrial, Formosa, GOIAS, 73.813-014 BR</v>
    <v>Food &amp; Tobacco</v>
    <v>SOJA3</v>
    <v>Ações</v>
    <v>Boa Safra Sementes S.A. (BVMF:SOJA3)</v>
    <v>0.12</v>
    <v>1.0860000000000002E-2</v>
    <v>302300</v>
  </rv>
  <rv s="2">
    <v>320</v>
  </rv>
  <rv s="0">
    <v>https://www.bing.com/financeapi/forcetrigger?t=apn7h7&amp;q=BVMF%3aPTNT4&amp;form=skydnc</v>
    <v>Learn more on Bing</v>
  </rv>
  <rv s="8">
    <v>pt-BR</v>
    <v>apn7h7</v>
    <v>268435456</v>
    <v>1</v>
    <v>Da plataforma Refinitiv</v>
    <v>14</v>
    <v>15</v>
    <v>Pettenati S.A. Indústria Têxtil (BVMF:PTNT4)</v>
    <v>12</v>
    <v>16</v>
    <v>Finance</v>
    <v>5</v>
    <v>8.27</v>
    <v>4.45</v>
    <v>BVMF</v>
    <v>48046490</v>
    <v>4.8600000000000003</v>
    <v>1964</v>
    <v>4.75</v>
    <v>0.36420000000000002</v>
    <v>B3 - Brazil Stock Exchange</v>
    <v>295812200</v>
    <v>A Pettenati S.A. Indústria Têxtil é uma empresa brasileira envolvida na indústria têxtil. A Empresa atua principalmente na fabricação, comercialização e exportação de tecidos acabados de malha e artigos de vestuário. Seu portfólio inclui uma gama de tecidos tingidos e estampados. As linhas de produtos da Empresa incluem Softs, Plushs, Meia Malha, Viscose e Linhas Esportivas, entre outros. A produção de tecidos da Empresa é realizada em duas fábricas, uma localizada em Caxias do Sul, no Rio Grande do Sul, e outra em El Salvador. A Empresa também opera uma unidade industrial em Caxias do Sul, Brasil, que atua na fabricação de produtos de vestuário. Em 30 de junho de 2012, ela detinha uma participação de 70,20% na Pettenati Centro America SA de CV.</v>
    <v>BVMF</v>
    <v>4.82</v>
    <v>1745</v>
    <v>45850</v>
    <v>322</v>
    <v>3220</v>
    <v>BRL</v>
    <v>Pettenati S.A. Indústria Têxtil</v>
    <v>Pettenati S.A. Indústria Têxtil</v>
    <v>4.82</v>
    <v>4.76</v>
    <v>Rod Rsc 453, S/N,Km 2,4, Distrito Industrial, CAXIAS DO SUL, RIO GRANDE DO SUL, 95.010-550 BR</v>
    <v>Textiles &amp; Apparel</v>
    <v>PTNT4</v>
    <v>Ações</v>
    <v>Pettenati S.A. Indústria Têxtil (BVMF:PTNT4)</v>
    <v>-0.06</v>
    <v>-1.2447999999999999E-2</v>
    <v>4900</v>
  </rv>
  <rv s="2">
    <v>323</v>
  </rv>
  <rv s="0">
    <v>https://www.bing.com/financeapi/forcetrigger?t=c2ttqh&amp;q=BVMF%3aDESK3&amp;form=skydnc</v>
    <v>Learn more on Bing</v>
  </rv>
  <rv s="9">
    <v>pt-BR</v>
    <v>c2ttqh</v>
    <v>268435456</v>
    <v>1</v>
    <v>Da plataforma Refinitiv</v>
    <v>18</v>
    <v>19</v>
    <v>DESKTOP S.A. (BVMF:DESK3)</v>
    <v>12</v>
    <v>27</v>
    <v>Finance</v>
    <v>5</v>
    <v>17.440000000000001</v>
    <v>7.8</v>
    <v>BVMF</v>
    <v>115878000</v>
    <v>9.07</v>
    <v>2006</v>
    <v>8.74</v>
    <v>1.2345999999999999</v>
    <v>B3 - Brazil Stock Exchange</v>
    <v>1042902000</v>
    <v>Desktop SA, Formely Desktop - Sigmanet Comunicacao Multimidia SA é uma empresa brasileira que opera uma plataforma de provedor de serviços de Internet (ISP). A empresa atua principalmente no mercado de serviços de Internet de banda larga com tecnologia de fibra ótica de alta velocidade direcionada para clientes individuais. A Desktop SA opera mais de 16000 quilômetros de redes de fibra e tem clientes ativos em 53 cidades do interior do Estado de São Paulo. Um dos objetivos da Empresa é democratizar o acesso à Internet, servindo tanto locais grandes como pequenos. A Desktop SA tem várias subsidiárias, incluindo Desktop Internet Ltda, Netion Solucoes em Internet via Radio SA, Netstyle Internet SA e Netstyle Comercio de Equipamentos de Informatica LTDA.</v>
    <v>BVMF</v>
    <v>8.98</v>
    <v>45849.838194872653</v>
    <v>325</v>
    <v>139710</v>
    <v>BRL</v>
    <v>DESKTOP S.A.</v>
    <v>DESKTOP S.A.</v>
    <v>9.07</v>
    <v>9</v>
    <v>Estrada Municipal Teodor Condiev, 970 13o andar, Jardim Marchissolo, Sumare, SAO PAULO, 13.171-105 BR</v>
    <v>Telecommunications Services</v>
    <v>DESK3</v>
    <v>Ações</v>
    <v>DESKTOP S.A. (BVMF:DESK3)</v>
    <v>0.02</v>
    <v>2.2270000000000002E-3</v>
    <v>125200</v>
  </rv>
  <rv s="2">
    <v>326</v>
  </rv>
  <rv s="0">
    <v>https://www.bing.com/financeapi/forcetrigger?t=ayuegh&amp;q=BVMF%3aIGTI3&amp;form=skydnc</v>
    <v>Learn more on Bing</v>
  </rv>
  <rv s="8">
    <v>pt-BR</v>
    <v>ayuegh</v>
    <v>268435456</v>
    <v>1</v>
    <v>Da plataforma Refinitiv</v>
    <v>14</v>
    <v>15</v>
    <v>Iguatemi S.A. (BVMF:IGTI3)</v>
    <v>12</v>
    <v>17</v>
    <v>Finance</v>
    <v>5</v>
    <v>2.89</v>
    <v>1.93</v>
    <v>BVMF</v>
    <v>1206361000</v>
    <v>2.8</v>
    <v>1946</v>
    <v>2.61</v>
    <v>1.0244</v>
    <v>B3 - Brazil Stock Exchange</v>
    <v>6389107000</v>
    <v>A Iguatemi SA, anteriormente conhecida como Jereissati Participações SA, é uma holding brasileira que atua no setor de desenvolvimento imobiliário. Através de sua subsidiária, a Iguatemi Empresa de Shopping Centers SA, a Companhia está focada na exploração comercial e planejamento de centros comerciais, prestação de serviços administrativos de centros comerciais regionais e de complexos imobiliários de uso misto, compra e venda de imóveis, exploração de estacionamentos rotativos, mediação no arrendamento de espaços promocionais, bem como elaboração de estudos, projetos e planejamento em promoção e merchandising. A Companhia possui participação em diversas unidades imobiliárias, incluindo Shopping Center Iguatemi São Paulo, Shopping Center Iguatemi Campinas, Shopping Center Iguatemi São Carlos, JK Iguatemi, Shopping Patio Higienópolis, Praia de Belas Shopping Center, Shopping Center Iguatemi Brasília e Galleria Shopping, entre outros.</v>
    <v>BVMF</v>
    <v>2.79</v>
    <v>636</v>
    <v>45849.838774687501</v>
    <v>328</v>
    <v>46310</v>
    <v>BRL</v>
    <v>Iguatemi S.A.</v>
    <v>Iguatemi S.A.</v>
    <v>2.79</v>
    <v>2.64</v>
    <v>Rua Angelina Maffei Vita 200 9 andar, Jardim Paulistano, SAO PAULO, SAO PAULO, 01.455-070 BR</v>
    <v>Real Estate Operations</v>
    <v>IGTI3</v>
    <v>Ações</v>
    <v>Iguatemi S.A. (BVMF:IGTI3)</v>
    <v>-0.15</v>
    <v>-5.3762999999999998E-2</v>
    <v>231800</v>
  </rv>
  <rv s="2">
    <v>329</v>
  </rv>
  <rv s="0">
    <v>https://www.bing.com/financeapi/forcetrigger?t=apmtnm&amp;q=BVMF%3aKEPL3&amp;form=skydnc</v>
    <v>Learn more on Bing</v>
  </rv>
  <rv s="8">
    <v>pt-BR</v>
    <v>apmtnm</v>
    <v>268435456</v>
    <v>1</v>
    <v>Da plataforma Refinitiv</v>
    <v>14</v>
    <v>15</v>
    <v>Kepler Weber S.A. (BVMF:KEPL3)</v>
    <v>12</v>
    <v>17</v>
    <v>Finance</v>
    <v>5</v>
    <v>10.92</v>
    <v>6.87</v>
    <v>BVMF</v>
    <v>179720100</v>
    <v>7.84</v>
    <v>1936</v>
    <v>7.57</v>
    <v>0.91300000000000003</v>
    <v>B3 - Brazil Stock Exchange</v>
    <v>1382047569</v>
    <v>A Kepler Weber S.A., anteriormente Kepler Weber S.A. Indústria Comércio Importação e Exportação, é uma empresa brasileira que se dedica essencialmente à produção de sistemas de armazenamento de grãos. Através de suas subsidiárias, a Empresa atua no desenvolvimento, fabricação e distribuição de equipamentos para armazenamento e conservação de grãos. O portfólio da Empresa inclui silos metálicos, com fundo em forma de funil ou plano, secadores, máquinas de limpeza e pré-limpeza de grãos e transportadores de grãos, entre outros. A Empresa também desenvolve e produz sistemas e equipamentos para terminais portuários e estocagem de malte. Além disso, a Kepler Weber fornece peças de reposição e serviços de reparação e manutenção para seus produtos. Em 31 de dezembro de 2011, as subsidiárias da Empresa eram a Kepler Weber Industrial S.A. e a Kepler Weber Peças e Serviços Ltda.</v>
    <v>BVMF</v>
    <v>7.77</v>
    <v>1925</v>
    <v>45849.838722557812</v>
    <v>331</v>
    <v>997270</v>
    <v>BRL</v>
    <v>Kepler Weber S.A.</v>
    <v>Kepler Weber S.A.</v>
    <v>7.77</v>
    <v>7.69</v>
    <v>Rua do Rocio n 84, 3 andar, Vila Olimpia, SAO PAULO, SAO PAULO, 04.552-000 BR</v>
    <v>Machinery, Equipment &amp; Components</v>
    <v>KEPL3</v>
    <v>Ações</v>
    <v>Kepler Weber S.A. (BVMF:KEPL3)</v>
    <v>-0.08</v>
    <v>-1.0296000000000001E-2</v>
    <v>1437200</v>
  </rv>
  <rv s="2">
    <v>332</v>
  </rv>
  <rv s="0">
    <v>https://www.bing.com/financeapi/forcetrigger?t=apmvxm&amp;q=BVMF%3aLREN3&amp;form=skydnc</v>
    <v>Learn more on Bing</v>
  </rv>
  <rv s="8">
    <v>pt-BR</v>
    <v>apmvxm</v>
    <v>268435456</v>
    <v>1</v>
    <v>Da plataforma Refinitiv</v>
    <v>14</v>
    <v>15</v>
    <v>Lojas Renner S.A. (BVMF:LREN3)</v>
    <v>12</v>
    <v>16</v>
    <v>Finance</v>
    <v>5</v>
    <v>19.66</v>
    <v>10.53</v>
    <v>BVMF</v>
    <v>1059550000</v>
    <v>19.07</v>
    <v>1965</v>
    <v>18.440000000000001</v>
    <v>1.7378</v>
    <v>B3 - Brazil Stock Exchange</v>
    <v>20300970000</v>
    <v>A Lojas Renner SA é uma empresa sediada no Brasil que tem por objetivo principal o varejo de vestuário e acessórios de moda. As atividades da Empresa estão divididas em dois segmentos: Varejo e Financeiro. A divisão Varejo tem como foco a comercialização de artigos de vestuário feminino, masculino e infantil, roupas íntimas e calçados, roupas esportivas, além de perfumaria, cosméticos, produtos de higiene, correlatos, relógios e acessórios para casa e decoração. O segmento Financeiro dedica-se à prestação de serviços financeiros, nomeadamente à intermediação de serviços financeiros com encargos, crédito pessoal e corretagem de seguros. Atua sob as marcas Lojas Renner, Camicado e Youcom. A Companhia opera por meio de uma série de subsidiárias, incluindo Dromegon Participações Ltda, Renner Administradora de Cartoes de Crédito Ltda e Maxmix Comercial Ltda, entre outras.</v>
    <v>BVMF</v>
    <v>19.16</v>
    <v>25102</v>
    <v>45850</v>
    <v>334</v>
    <v>11934090</v>
    <v>BRL</v>
    <v>Lojas Renner S.A.</v>
    <v>Lojas Renner S.A.</v>
    <v>19.02</v>
    <v>18.600000000000001</v>
    <v>Av. Joaquim Porto Villanova, 401,7 andar, Jardim do Salso, PORTO ALEGRE, RIO GRANDE DO SUL, 91.410-400 BR</v>
    <v>Specialty Retailers</v>
    <v>LREN3</v>
    <v>Ações</v>
    <v>Lojas Renner S.A. (BVMF:LREN3)</v>
    <v>-0.56000000000000005</v>
    <v>-2.9228000000000001E-2</v>
    <v>12820300</v>
  </rv>
  <rv s="2">
    <v>335</v>
  </rv>
  <rv s="0">
    <v>https://www.bing.com/financeapi/forcetrigger?t=apmyyc&amp;q=BVMF%3aMRFG3&amp;form=skydnc</v>
    <v>Learn more on Bing</v>
  </rv>
  <rv s="8">
    <v>pt-BR</v>
    <v>apmyyc</v>
    <v>268435456</v>
    <v>1</v>
    <v>Da plataforma Refinitiv</v>
    <v>14</v>
    <v>15</v>
    <v>Marfrig Global Foods S.A. (BVMF:MRFG3)</v>
    <v>12</v>
    <v>17</v>
    <v>Finance</v>
    <v>5</v>
    <v>26.03</v>
    <v>9.1999999999999993</v>
    <v>BVMF</v>
    <v>857928100</v>
    <v>23.57</v>
    <v>2000</v>
    <v>22.52</v>
    <v>0.9133</v>
    <v>B3 - Brazil Stock Exchange</v>
    <v>19732350000</v>
    <v>A Marfrig Global Foods S.A., antiga Marfrig Alimentos S.A., é uma empresa estabelecida no Brasil, que atua principalmente no processamento e na distribuição de carne. As atividades da empresa são divididas em dois segmentos operacionais: Marfrig Beef e Keystone. O segmento Marfrig Beef é responsável pelo abate, fabricação, distribuição, importação, exportação e marketing de carne bovina e ovina. A divisão Keystone concentra-se na produção e no desenvolvimento de alimentos multiproteicos, para atender a cadeias de restaurantes, inclusive McDonald's, Subway, ConAgra Foods, Campbell's Soup, KFC, Taco Bell, Wendy's, Heinz e Burger King, dentre outros. Vende no varejo sob várias marcas, como Pampeano, La Morocha, Montana, Hamby, Bernina, Bassi, GJ, Angus, South Lamb e Tacuarembo. A empresa opera mundialmente nas Américas, na Ásia, Europa e Oceania.</v>
    <v>BVMF</v>
    <v>24</v>
    <v>126832</v>
    <v>45849.838871365624</v>
    <v>337</v>
    <v>6466090</v>
    <v>BRL</v>
    <v>Marfrig Global Foods S.A.</v>
    <v>Marfrig Global Foods S.A.</v>
    <v>23.56</v>
    <v>23</v>
    <v>Avenida Chedid Jafet, No 222, Block A, 1St Floor, SAO PAULO, SAO PAULO, 04.551-065 BR</v>
    <v>Food &amp; Tobacco</v>
    <v>MRFG3</v>
    <v>Ações</v>
    <v>Marfrig Global Foods S.A. (BVMF:MRFG3)</v>
    <v>-1</v>
    <v>-4.1666999999999996E-2</v>
    <v>11241600</v>
  </rv>
  <rv s="2">
    <v>338</v>
  </rv>
  <rv s="0">
    <v>https://www.bing.com/financeapi/forcetrigger?t=apmsu2&amp;q=BVMF%3aJFEN3&amp;form=skydnc</v>
    <v>Learn more on Bing</v>
  </rv>
  <rv s="8">
    <v>pt-BR</v>
    <v>apmsu2</v>
    <v>268435456</v>
    <v>1</v>
    <v>Da plataforma Refinitiv</v>
    <v>14</v>
    <v>15</v>
    <v>JOAO FORTES ENGENHARIA S.A. (BVMF:JFEN3)</v>
    <v>12</v>
    <v>17</v>
    <v>Finance</v>
    <v>5</v>
    <v>9.6</v>
    <v>1.68</v>
    <v>BVMF</v>
    <v>12802740</v>
    <v>1.8</v>
    <v>1940</v>
    <v>1.71</v>
    <v>1.4189000000000001</v>
    <v>B3 - Brazil Stock Exchange</v>
    <v>23172970</v>
    <v>A JOÃO FORTES ENGENHARIA S.A., anteriormente João Fortes &amp; Companhia Ltda., é uma empresa brasileira que atua sobretudo no setor imobiliário. A empresa se dedica à concepção, planejamento, construção, incorporação, desenvolvimento, venda e locação de edifícios residenciais, comerciais e industriais, como residências multifamiliares, shopping centers e hotéis, entre outros. Além disso, a empresa se dedica a projetos e serviços nas áreas de engenharia elétrica, engenharia hidráulica, irrigação, saneamento e engenharia agrícola. Em 31 de dezembro de 2011, a empresa possuía várias subsidiárias, incluindo a Alfa Port Empreendimentos Imobiliários Ltda., CNR Empreendimento, Costabella Empreendimentos Imobiliários Ltda. e JFE Participações S.A., entre outras.</v>
    <v>BVMF</v>
    <v>1.81</v>
    <v>579</v>
    <v>45849.823993055557</v>
    <v>340</v>
    <v>6540</v>
    <v>BRL</v>
    <v>JOAO FORTES ENGENHARIA S.A.</v>
    <v>JOAO FORTES ENGENHARIA S.A.</v>
    <v>1.72</v>
    <v>1.74</v>
    <v>Av. das Americas, 3443, Sala 108, Bloco 3, Ala B, Barra da Tijuca, RIO DE JANEIRO, RIO DE JANEIRO, 22.631-003 BR</v>
    <v>Real Estate Operations</v>
    <v>JFEN3</v>
    <v>Ações</v>
    <v>JOAO FORTES ENGENHARIA S.A. (BVMF:JFEN3)</v>
    <v>-7.0000000000000007E-2</v>
    <v>-3.8674E-2</v>
    <v>4200</v>
  </rv>
  <rv s="2">
    <v>341</v>
  </rv>
  <rv s="0">
    <v>https://www.bing.com/financeapi/forcetrigger?t=apnjec&amp;q=BVMF%3aUSIM3&amp;form=skydnc</v>
    <v>Learn more on Bing</v>
  </rv>
  <rv s="8">
    <v>pt-BR</v>
    <v>apnjec</v>
    <v>268435456</v>
    <v>1</v>
    <v>Da plataforma Refinitiv</v>
    <v>14</v>
    <v>15</v>
    <v>Usinas Siderúrgicas de Minas Gerais S/A - USIMINAS (BVMF:USIM3)</v>
    <v>12</v>
    <v>16</v>
    <v>Finance</v>
    <v>5</v>
    <v>8.11</v>
    <v>4</v>
    <v>BVMF</v>
    <v>1253079000</v>
    <v>4.4400000000000004</v>
    <v>1954</v>
    <v>4.3</v>
    <v>0.87809999999999999</v>
    <v>B3 - Brazil Stock Exchange</v>
    <v>5455861000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4.38</v>
    <v>51182</v>
    <v>45850</v>
    <v>343</v>
    <v>12469280</v>
    <v>BRL</v>
    <v>Usinas Siderúrgicas de Minas Gerais S/A - USIMINAS</v>
    <v>Usinas Siderúrgicas de Minas Gerais S/A - USIMINAS</v>
    <v>4.4400000000000004</v>
    <v>4.37</v>
    <v>Avenida do Contorno, 6.594, Savassi, BELO HORIZONTE, MINAS GERAIS, 30.110-044 BR</v>
    <v>Metals &amp; Mining</v>
    <v>USIM3</v>
    <v>Ações</v>
    <v>Usinas Siderúrgicas de Minas Gerais S/A - USIMINAS (BVMF:USIM3)</v>
    <v>-0.01</v>
    <v>-2.2829999999999999E-3</v>
    <v>165500</v>
  </rv>
  <rv s="2">
    <v>344</v>
  </rv>
  <rv s="0">
    <v>https://www.bing.com/financeapi/forcetrigger?t=bvm1h7&amp;q=BVMF%3aCURY3&amp;form=skydnc</v>
    <v>Learn more on Bing</v>
  </rv>
  <rv s="9">
    <v>pt-BR</v>
    <v>bvm1h7</v>
    <v>268435456</v>
    <v>1</v>
    <v>Da plataforma Refinitiv</v>
    <v>18</v>
    <v>19</v>
    <v>CURY CONSTRUTORA E INCORPORADORA S.A. (BVMF:CURY3)</v>
    <v>12</v>
    <v>27</v>
    <v>Finance</v>
    <v>5</v>
    <v>31.31</v>
    <v>16.3</v>
    <v>BVMF</v>
    <v>291875100</v>
    <v>30.04</v>
    <v>2007</v>
    <v>29.34</v>
    <v>1.0411999999999999</v>
    <v>B3 - Brazil Stock Exchange</v>
    <v>8683284225</v>
    <v>A Cury Construtora e Incorporadora SA é uma empresa brasileira que atua no segmento de incorporação imobiliária. A Empresa tem por objeto a incorporação, construção e comercialização de edifícios residenciais nas regiões metropolitanas dos estados de São Paulo e Rio de Janeiro. A Firma desenvolve apartamentos no setor de habitação de baixa renda, principalmente para o programa brasileiro de habitação pública &lt;Minha Casa, Minha Vida&gt; (MCMV). A Companhia opera por meio de diversas subsidiárias, como CCISA08 Consultoria Imobiliária Ltda (Cury Vendas) e CCISA15 Instaladora Ltda (Cury Install), entre outras.</v>
    <v>BVMF</v>
    <v>29.65</v>
    <v>45849.838678448439</v>
    <v>346</v>
    <v>2079920</v>
    <v>BRL</v>
    <v>CURY CONSTRUTORA E INCORPORADORA S.A.</v>
    <v>CURY CONSTRUTORA E INCORPORADORA S.A.</v>
    <v>29.66</v>
    <v>29.75</v>
    <v>Rua Funchal, n 411, 13 andar Conjunto 132-D, Vila Olimpia, Sao Paulo, SAO PAULO, 04.551-060 BR</v>
    <v>Homebuilding &amp; Construction Supplies</v>
    <v>CURY3</v>
    <v>Ações</v>
    <v>CURY CONSTRUTORA E INCORPORADORA S.A. (BVMF:CURY3)</v>
    <v>0.1</v>
    <v>3.3729999999999997E-3</v>
    <v>2071900</v>
  </rv>
  <rv s="2">
    <v>347</v>
  </rv>
  <rv s="0">
    <v>https://www.bing.com/financeapi/forcetrigger?t=apniqh&amp;q=BVMF%3aUGPA3&amp;form=skydnc</v>
    <v>Learn more on Bing</v>
  </rv>
  <rv s="8">
    <v>pt-BR</v>
    <v>apniqh</v>
    <v>268435456</v>
    <v>1</v>
    <v>Da plataforma Refinitiv</v>
    <v>14</v>
    <v>15</v>
    <v>ULTRAPAR PARTICIPAÇÕES S.A. (BVMF:UGPA3)</v>
    <v>12</v>
    <v>17</v>
    <v>Finance</v>
    <v>5</v>
    <v>23.74</v>
    <v>14.76</v>
    <v>BVMF</v>
    <v>1115507000</v>
    <v>17.54</v>
    <v>1953</v>
    <v>17.09</v>
    <v>1.1513</v>
    <v>B3 - Brazil Stock Exchange</v>
    <v>19073408400</v>
    <v>A ULTRAPAR PARTICIPAÇÕES SA é uma holding. A empresa investe seu capital em serviços, atividades comerciais e atividades industriais. Atua através de cinco segmentos: distribuição de gás (Ultragaz), que distribui gás liquefeito de petróleo (GLP) para consumidores residenciais, comerciais e industriais nas regiões Sul, Sudeste e Nordeste do Brasil; distribuição de combustível (Ipiranga), que atua na distribuição e comercialização de gasolina, etanol, diesel, óleo combustível, querosene, gás natural para veículos, e lubrificantes e atividades correlatas em todo o território brasileiro; produtos químicos (Oxiteno), que produz óxido de etileno, e seus derivados primários e álcoois graxos; armazenamento (Ultracargo), que opera terminais de granéis líquidos, principalmente nas regiões Sudeste e Nordeste do Brasil; e drogarias (Extrafarma), que comercializam produtos farmacêuticos, de higiene e beleza por meio de sua cadeia de farmácias nos estados do Pará e Piauí, entre outros.</v>
    <v>BVMF</v>
    <v>17.510000000000002</v>
    <v>9558</v>
    <v>45849.838842349222</v>
    <v>349</v>
    <v>3966070</v>
    <v>BRL</v>
    <v>ULTRAPAR PARTICIPAÇÕES S.A.</v>
    <v>ULTRAPAR PARTICIPAÇÕES S.A.</v>
    <v>17.329999999999998</v>
    <v>17.100000000000001</v>
    <v>Avenida Brigadeiro Luis Antonio, 1.343, 8 andar, Bela Vista, SAO PAULO, SAO PAULO, 01.317-910 BR</v>
    <v>Oil &amp; Gas</v>
    <v>UGPA3</v>
    <v>Ações</v>
    <v>ULTRAPAR PARTICIPAÇÕES S.A. (BVMF:UGPA3)</v>
    <v>-0.41</v>
    <v>-2.3414999999999998E-2</v>
    <v>3578900</v>
  </rv>
  <rv s="2">
    <v>350</v>
  </rv>
  <rv s="0">
    <v>https://www.bing.com/financeapi/forcetrigger?t=apmfur&amp;q=BVMF%3aDXCO3&amp;form=skydnc</v>
    <v>Learn more on Bing</v>
  </rv>
  <rv s="8">
    <v>pt-BR</v>
    <v>apmfur</v>
    <v>268435456</v>
    <v>1</v>
    <v>Da plataforma Refinitiv</v>
    <v>14</v>
    <v>15</v>
    <v>DEXCO S.A. (BVMF:DXCO3)</v>
    <v>12</v>
    <v>17</v>
    <v>Finance</v>
    <v>5</v>
    <v>8.8800000000000008</v>
    <v>5</v>
    <v>BVMF</v>
    <v>820566200</v>
    <v>5.46</v>
    <v>1962</v>
    <v>5.34</v>
    <v>0.749</v>
    <v>B3 - Brazil Stock Exchange</v>
    <v>4390029000</v>
    <v>A Dexco SA, anteriormente conhecida como Duratex SA, é uma empresa sediada no Brasil que atua principalmente na fabricação de painéis de madeira. A empresa atua em três segmentos de negócios: Madeira, Deca e Azulejos Cerâmicos. A divisão de madeira é responsável pela produção de painéis de painéis duros; painéis de partículas de média densidade (MDP); painéis de painéis de fibras de média, alta e super densidade (MDF, HDF e SDF); pisos laminados, denominados Durafloor, e componentes para a indústria moveleira. A divisão Deca centra-se na produção de produtos sanitários de cerâmica e metal sob as marcas Deca e Hydra. A divisão Cerâmica Telhas produz porcelanas polidas, revestimentos especiais e outros azulejos sob as marcas Ceusa e Portinari. A empresa opera instalações industriais e filiais comerciais no Brasil, Colômbia, Peru e Estados Unidos, entre outros.</v>
    <v>BVMF</v>
    <v>5.4</v>
    <v>13344</v>
    <v>45849.838787256253</v>
    <v>352</v>
    <v>1896190</v>
    <v>BRL</v>
    <v>DEXCO S.A.</v>
    <v>DEXCO S.A.</v>
    <v>5.4</v>
    <v>5.35</v>
    <v>Avenida Paulista 1938 - 5 andar, Bela Vista, SAO PAULO, SAO PAULO, 01.310-942 BR</v>
    <v>Paper &amp; Forest Products</v>
    <v>DXCO3</v>
    <v>Ações</v>
    <v>DEXCO S.A. (BVMF:DXCO3)</v>
    <v>-0.05</v>
    <v>-9.2589999999999999E-3</v>
    <v>2884700</v>
  </rv>
  <rv s="2">
    <v>353</v>
  </rv>
  <rv s="0">
    <v>https://www.bing.com/financeapi/forcetrigger?t=apnfpr&amp;q=BVMF%3aTEND3&amp;form=skydnc</v>
    <v>Learn more on Bing</v>
  </rv>
  <rv s="8">
    <v>pt-BR</v>
    <v>apnfpr</v>
    <v>268435456</v>
    <v>1</v>
    <v>Da plataforma Refinitiv</v>
    <v>14</v>
    <v>15</v>
    <v>CONSTRUTORA TENDA S/A (BVMF:TEND3)</v>
    <v>12</v>
    <v>17</v>
    <v>Finance</v>
    <v>5</v>
    <v>25.26</v>
    <v>11.77</v>
    <v>BVMF</v>
    <v>122578100</v>
    <v>23.6</v>
    <v>1993</v>
    <v>22.85</v>
    <v>1.4892000000000001</v>
    <v>B3 - Brazil Stock Exchange</v>
    <v>2800911000</v>
    <v>Construtora Tenda S/A, antiga Construtora Tenda Ltda é uma empresa brasileira de construção e desenvolvimento imobiliário. A receita da Companhia vem principalmente da incorporação e venda de unidades autônomas, sob as marcas Tenda e Alea, voltadas para o segmento habitacional acessível. A Alea opera como uma plataforma de construção de moradias fora do local - que consiste em produzir casas em um ambiente fabril usando painéis de madeira-quadro, apenas montando-as no canteiro de obras. A Companhia faz parte do programa Minha Casa Minha Vida (MCMV), iniciativa habitacional do governo federal do Brasil. O programa prevê subsídios e taxas de juros reduzidas para tornar mais acessível a aquisição de moradia acessível, tanto em áreas urbanas quanto rurais, com o objetivo de abordar o déficit habitacional no Brasil. A Construtora Tenda S/A tem projetos em 9 estados do Brasil: Ceará, Pernambuco, Bahia, Minas Gerais, Rio de Janeiro, são Paulo, Goais, Paraná, Rio Grande do Sul e Campinas.</v>
    <v>BVMF</v>
    <v>23.4</v>
    <v>6287</v>
    <v>45849.838855265625</v>
    <v>355</v>
    <v>1313570</v>
    <v>BRL</v>
    <v>CONSTRUTORA TENDA S/A</v>
    <v>CONSTRUTORA TENDA S/A</v>
    <v>23.17</v>
    <v>22.85</v>
    <v>Rua Boa Vista, n 280 pavimentos 8 e 9, Centro, SAO PAULO, SAO PAULO, 01.014-908 BR</v>
    <v>Real Estate Operations</v>
    <v>TEND3</v>
    <v>Ações</v>
    <v>CONSTRUTORA TENDA S/A (BVMF:TEND3)</v>
    <v>-0.55000000000000004</v>
    <v>-2.3504000000000001E-2</v>
    <v>880000</v>
  </rv>
  <rv s="2">
    <v>356</v>
  </rv>
  <rv s="0">
    <v>https://creativecommons.org/licenses/by-sa/3.0</v>
    <v>CC BY-SA 3.0</v>
  </rv>
  <rv s="0">
    <v>http://en.wikipedia.org/wiki/Eletrobras</v>
    <v>Wikipedia</v>
  </rv>
  <rv s="10">
    <v>358</v>
    <v>359</v>
  </rv>
  <rv s="11">
    <v>26</v>
    <v>https://www.bing.com/th?id=AMMS_47d2a68313bf3c91f117037b98f07a39&amp;qlt=95</v>
    <v>360</v>
    <v>0</v>
    <v>https://www.bing.com/images/search?form=xlimg&amp;q=eletrobras</v>
    <v>Image of CENTRAIS ELETRICAS BRASILEIRAS SA ELETROBRAS</v>
  </rv>
  <rv s="0">
    <v>https://www.bing.com/financeapi/forcetrigger?t=apmh3m&amp;q=BVMF%3aELET3&amp;form=skydnc</v>
    <v>Learn more on Bing</v>
  </rv>
  <rv s="12">
    <v>pt-BR</v>
    <v>apmh3m</v>
    <v>268435456</v>
    <v>1</v>
    <v>Da plataforma Refinitiv</v>
    <v>21</v>
    <v>22</v>
    <v>CENTRAIS ELETRICAS BRASILEIRAS SA ELETROBRAS (BVMF:ELET3)</v>
    <v>24</v>
    <v>34</v>
    <v>Finance</v>
    <v>5</v>
    <v>44.49</v>
    <v>31.93</v>
    <v>BVMF</v>
    <v>2307100000</v>
    <v>39.76</v>
    <v>1962</v>
    <v>39.01</v>
    <v>0.80559999999999998</v>
    <v>B3 - Brazil Stock Exchange</v>
    <v>91776210000</v>
    <v>A Eletrobras é uma empresa brasileira de energia, especializada na geração e transmissão de energia elétrica. As operações da Companhia são divididas em dois segmentos primários: Geração de Energia e Transmissão de Energia. O portfólio de energia da Eletrobras consiste principalmente em fontes de baixo carbono, com a maioria das hidrelétricas, complementadas pela energia eólica e solar. No segmento de Geração de Energia, a Eletrobras administra uma ampla gama de Usinas, incluindo hidrelétricas e parques eólicos. O segmento de Transmissão de Energia envolve supervisionar uma ampla rede de linhas de transmissão em todo o Brasil. A Companhia opera através de uma rede de subsidiárias regionais.</v>
    <v>BVMF</v>
    <v>39.42</v>
    <v>7710</v>
    <v>45850</v>
    <v>361</v>
    <v>362</v>
    <v>902530</v>
    <v>BRL</v>
    <v>CENTRAIS ELETRICAS BRASILEIRAS SA ELETROBRAS</v>
    <v>CENTRAIS ELETRICAS BRASILEIRAS SA ELETROBRAS</v>
    <v>39.29</v>
    <v>39.31</v>
    <v>Rua da Quitanda, 196, Lj A, Centro, RIO DE JANEIRO, RIO DE JANEIRO, 20.091-005 BR</v>
    <v>Electrical Utilities &amp; IPPs</v>
    <v>ELET3</v>
    <v>Ações</v>
    <v>CENTRAIS ELETRICAS BRASILEIRAS SA ELETROBRAS (BVMF:ELET3)</v>
    <v>-0.11</v>
    <v>-2.7900000000000004E-3</v>
    <v>6074400</v>
  </rv>
  <rv s="2">
    <v>363</v>
  </rv>
  <rv s="0">
    <v>https://www.bing.com/financeapi/forcetrigger?t=apnlu2&amp;q=BVMF%3aWIZS3&amp;form=skydnc</v>
    <v>Learn more on Bing</v>
  </rv>
  <rv s="8">
    <v>pt-BR</v>
    <v>apnlu2</v>
    <v>268435456</v>
    <v>1</v>
    <v>Da plataforma Refinitiv</v>
    <v>14</v>
    <v>15</v>
    <v>Wiz Co Participações e Corretagem de Seguros S.A. (BVMF:WIZC3)</v>
    <v>12</v>
    <v>17</v>
    <v>Finance</v>
    <v>5</v>
    <v>8.23</v>
    <v>4.9000000000000004</v>
    <v>BVMF</v>
    <v>159907300</v>
    <v>7.88</v>
    <v>1973</v>
    <v>7.71</v>
    <v>1.1144000000000001</v>
    <v>B3 - Brazil Stock Exchange</v>
    <v>1260069000</v>
    <v>Wiz Co Participações e Corretores de Seguros SA, anteriormente Wiz Solucoes e Corretores de Seguros SA é uma empresa brasileira que atua como corretora de seguros especializada em bancassucoes e como consórcio e distribuidor de crédito, abrangendo tudo desde distribuição, gestão de canais e operações até a criação de soluções específicas nos segmentos de seguros, consórcio e crédito. A empresa oferece soluções presenciais, remotas e digitais para a venda e pós-venda de seguros e produtos financeiros. As atividades da WIZ Co estão divididas em três segmentos: Seguros, crédito e consórcio, bem como serviços. O portfólio de seguros da Companhia inclui seguro de vida, saúde e propriedade, bem como seguro de responsabilidade civil e risco especial.</v>
    <v>BVMF</v>
    <v>7.88</v>
    <v>1635</v>
    <v>45849.837500312497</v>
    <v>365</v>
    <v>355710</v>
    <v>BRL</v>
    <v>Wiz Co Participações e Corretagem de Seguros S.A.</v>
    <v>Wiz Co Participações e Corretagem de Seguros S.A.</v>
    <v>7.88</v>
    <v>7.71</v>
    <v>Setor Comercial Norte, Quadra 02, Bloco D, Ed. Liberty Mall, Entrada B, Sala 1301, Asa Norte, BRASILIA, DISTRITO FEDERAL, 70.712-903 BR</v>
    <v>Insurance</v>
    <v>WIZC3</v>
    <v>Ações</v>
    <v>Wiz Co Participações e Corretagem de Seguros S.A. (BVMF:WIZC3)</v>
    <v>-0.17</v>
    <v>-2.1573999999999999E-2</v>
    <v>283200</v>
  </rv>
  <rv s="2">
    <v>366</v>
  </rv>
  <rv s="0">
    <v>https://www.bing.com/financeapi/forcetrigger?t=apnb8m&amp;q=BVMF%3aSAPR4&amp;form=skydnc</v>
    <v>Learn more on Bing</v>
  </rv>
  <rv s="8">
    <v>pt-BR</v>
    <v>apnb8m</v>
    <v>268435456</v>
    <v>1</v>
    <v>Da plataforma Refinitiv</v>
    <v>14</v>
    <v>15</v>
    <v>Companhia de Saneamento do Paraná - Sanepar (BVMF:SAPR4)</v>
    <v>12</v>
    <v>16</v>
    <v>Finance</v>
    <v>5</v>
    <v>7.45</v>
    <v>4.82</v>
    <v>BVMF</v>
    <v>1511206000</v>
    <v>7.27</v>
    <v>1963</v>
    <v>7.01</v>
    <v>0.61980000000000002</v>
    <v>B3 - Brazil Stock Exchange</v>
    <v>10976390000</v>
    <v>A Companhia de Saneamento do Paraná - Sanepar, anteriormente Companhia de Água e Esgotos do Paraná - Agepar, é uma empresa brasileira que atua na prestação de serviços de saneamento básico. A empresa atua sobretudo na distribuição de água, bem como na coleta e tratamento de esgoto. A empresa também se dedica a estudos, projetos e expansão de redes de distribuição de água, redes de coleta e infraestrutura de tratamento de esgoto. Além disso, a Companhia de Saneamento do Paraná - Sanepar fornece coleta e processamento de resíduos sólidos. Também presta serviços de consultoria e assistência técnica. A empresa colabora com agências e entidades governamentais e municipais. A Companhia de Saneamento do Paraná - Sanepar atua em 346 municípios.</v>
    <v>BVMF</v>
    <v>7.1</v>
    <v>6047</v>
    <v>45850</v>
    <v>368</v>
    <v>1413380</v>
    <v>BRL</v>
    <v>Companhia de Saneamento do Paraná - Sanepar</v>
    <v>Companhia de Saneamento do Paraná - Sanepar</v>
    <v>7.09</v>
    <v>7.23</v>
    <v>Rua Engenheiros Reboucas, 1376, Reboucas, CURITIBA, PARANA, 80.215-900 BR</v>
    <v>Water Utilities</v>
    <v>SAPR4</v>
    <v>Ações</v>
    <v>Companhia de Saneamento do Paraná - Sanepar (BVMF:SAPR4)</v>
    <v>0.13</v>
    <v>1.831E-2</v>
    <v>1187300</v>
  </rv>
  <rv s="2">
    <v>369</v>
  </rv>
  <rv s="0">
    <v>https://www.bing.com/financeapi/forcetrigger?t=apn1fr&amp;q=BVMF%3aNTCO3&amp;form=skydnc</v>
    <v>Learn more on Bing</v>
  </rv>
  <rv s="8">
    <v>pt-BR</v>
    <v>apn1fr</v>
    <v>268435456</v>
    <v>1</v>
    <v>Da plataforma Refinitiv</v>
    <v>14</v>
    <v>15</v>
    <v>NATURA &amp;CO HOLDING S.A. (BVMF:NATU3)</v>
    <v>12</v>
    <v>17</v>
    <v>Finance</v>
    <v>5</v>
    <v>16.940000000000001</v>
    <v>8.93</v>
    <v>BVMF</v>
    <v>1374118000</v>
    <v>10.07</v>
    <v>2019</v>
    <v>9.7100000000000009</v>
    <v>1.1535</v>
    <v>B3 - Brazil Stock Exchange</v>
    <v>13452610000</v>
    <v>ナチュラ・アンド・コー・ホールディング（Natura &amp;Co Holding SA）は、ブラジルを拠点とする美容会社で、ナチュラとエイボンのブランドを統合する。【事業内容】2つのセグメントを通じて事業を展開する。ナチュラコラタムはブラジルに3工場、メキシコに1工場、アルゼンチンに1工場の計5工場で化粧品を製造しており、エイボンインターナショナルはポーランドとロシアに2工場がある。ナチュラブランドのポートフォリオには、フレグランス、メーキャップ、ボディケア、フェイスケア製品、日焼け止め、デオドラント、ボディオイル、ヘアケア、ホームケア製品が含まれる。エイボンブランドのポートフォリオには、メーキャップ、フェイスケア、デイリーケア製品、フレグランス、ヘアケア、ホーム及びスタイル製品が含まれる。子会社は、Natura &amp;Co International Sarl や Natura Cosmeticos SA などがある。</v>
    <v>BVMF</v>
    <v>10.1</v>
    <v>1709</v>
    <v>45849.838809432811</v>
    <v>371</v>
    <v>5378070</v>
    <v>BRL</v>
    <v>NATURA &amp;CO HOLDING S.A.</v>
    <v>NATURA &amp;CO HOLDING S.A.</v>
    <v>10.050000000000001</v>
    <v>9.7899999999999991</v>
    <v>Av Alexandre Colares 1188 Sala A17 Bloco A, Parque Anhanguera, SAO PAULO, SAO PAULO, 05.106-000 BR</v>
    <v>Personal &amp; Household Products &amp; Services</v>
    <v>NATU3</v>
    <v>Ações</v>
    <v>NATURA &amp;CO HOLDING S.A. (BVMF:NATU3)</v>
    <v>-0.31</v>
    <v>-3.0693000000000002E-2</v>
    <v>7485700</v>
  </rv>
  <rv s="2">
    <v>372</v>
  </rv>
  <rv s="0">
    <v>https://www.bing.com/financeapi/forcetrigger?t=apmjar&amp;q=BVMF%3aEVEN3&amp;form=skydnc</v>
    <v>Learn more on Bing</v>
  </rv>
  <rv s="9">
    <v>pt-BR</v>
    <v>apmjar</v>
    <v>268435456</v>
    <v>1</v>
    <v>Da plataforma Refinitiv</v>
    <v>18</v>
    <v>19</v>
    <v>EVEN CONSTRUTORA E INCORPORADORA S.A. (BVMF:EVEN3)</v>
    <v>12</v>
    <v>20</v>
    <v>Finance</v>
    <v>5</v>
    <v>7.68</v>
    <v>5.26</v>
    <v>BVMF</v>
    <v>200000000</v>
    <v>7.3</v>
    <v>1980</v>
    <v>7.17</v>
    <v>1.4634</v>
    <v>B3 - Brazil Stock Exchange</v>
    <v>1444000000</v>
    <v>A Even Construtora e Incorporadora SA é uma empresa brasileira envolvida no setor imobiliário. A Empresa tem como foco a identificação, avaliação e aquisição de terrenos; planejamento de projetos; construção e desenvolvimento de edifícios; bem como a promoção e venda de imóveis residenciais e comerciais. A Companhia atua em atividades de desenvolvimento e construção imobiliária, com foco nos segmentos de médio e médio padrão nos estados de São Paulo e Rio Grande do Sul por meio de investimentos na Melnick Desenvolvimento Imobiliario SA, que atua em projetos residenciais e comerciais de médio e alto padrão na cidade de Porto Alegre. A Companhia controla diversas subsidiárias, como Window Jardins Empreendimentos Imobiliarios SA, City Projects Empreendimentos Ltda, Westeven Empreendimentos Imobiliarios Ltda e Norteven Empreendimentos Imobiliarios Ltda.</v>
    <v>BVMF</v>
    <v>7.25</v>
    <v>45850</v>
    <v>374</v>
    <v>437920</v>
    <v>BRL</v>
    <v>EVEN CONSTRUTORA E INCORPORADORA S.A.</v>
    <v>EVEN CONSTRUTORA E INCORPORADORA S.A.</v>
    <v>7.28</v>
    <v>7.22</v>
    <v>Rua Hungria,1400, 2 andar, Jardim America, SAO PAULO, SAO PAULO, 01.455-000 BR</v>
    <v>Real Estate Operations</v>
    <v>EVEN3</v>
    <v>Ações</v>
    <v>EVEN CONSTRUTORA E INCORPORADORA S.A. (BVMF:EVEN3)</v>
    <v>-0.03</v>
    <v>-4.1380000000000002E-3</v>
    <v>408000</v>
  </rv>
  <rv s="2">
    <v>375</v>
  </rv>
  <rv s="0">
    <v>https://www.bing.com/financeapi/forcetrigger?t=apmsa2&amp;q=BVMF%3aITUB3&amp;form=skydnc</v>
    <v>Learn more on Bing</v>
  </rv>
  <rv s="8">
    <v>pt-BR</v>
    <v>apmsa2</v>
    <v>268435456</v>
    <v>1</v>
    <v>Da plataforma Refinitiv</v>
    <v>14</v>
    <v>15</v>
    <v>Itaú Unibanco Holding S.A. (BVMF:ITUB3)</v>
    <v>12</v>
    <v>17</v>
    <v>Finance</v>
    <v>5</v>
    <v>33.950000000000003</v>
    <v>22.42</v>
    <v>BVMF</v>
    <v>10784550000</v>
    <v>31.78</v>
    <v>1943</v>
    <v>31.34</v>
    <v>1.2730999999999999</v>
    <v>B3 - Brazil Stock Exchange</v>
    <v>360793200000</v>
    <v>O Itau Unibanco Holding SA, anteriormente Banco Frances e Brasileiro SA, é uma provedora brasileira de serviços e produtos bancários e não bancários diversificados. As atividades da Companhia estão divididas em três segmentos de negócios: Varejo, Negócios por Atacado e Atividades com o Mercado e Corporações. A oferta do segmento de Negócios de Varejo inclui empréstimos pessoais, cartões de crédito, empréstimos deduzidos da folha de pagamento, financiamento de veículos, empréstimos hipotecários, seguros, planos de pensões e produtos de obrigações premium. O segmento de Negócios por Atacado oferece serviços e produtos para clientes bancários privados, como gestão de ativos, soluções de mercado de capitais, atividades bancárias corporativas e de investimento. As atividades com o segmento de Negócios Mercado e Corporações gerenciam os rendimentos de juros associados ao superávit de capital da Companhia, superávit de dívida subordinado e saldo líquido de créditos fiscais e débitos. O Itau Unibanco Holding atende pessoas físicas e clientes corporativos.</v>
    <v>BVMF</v>
    <v>31.7</v>
    <v>100600</v>
    <v>45849.838547985935</v>
    <v>377</v>
    <v>19034450</v>
    <v>BRL</v>
    <v>Itaú Unibanco Holding S.A.</v>
    <v>Itaú Unibanco Holding S.A.</v>
    <v>31.7</v>
    <v>31.6</v>
    <v>Praca Alfredo Egydio de Souza Aranha, 100, T. Olavo Setubal, Piso Itau Unibanco, Parque Jabaquara, SAO PAULO, SAO PAULO, 04.344-902 BR</v>
    <v>Banking Services</v>
    <v>ITUB3</v>
    <v>Ações</v>
    <v>Itaú Unibanco Holding S.A. (BVMF:ITUB3)</v>
    <v>-0.1</v>
    <v>-3.1549999999999998E-3</v>
    <v>582400</v>
  </rv>
  <rv s="2">
    <v>378</v>
  </rv>
  <rv s="0">
    <v>https://www.bing.com/financeapi/forcetrigger?t=apninm&amp;q=BVMF%3aUCAS3&amp;form=skydnc</v>
    <v>Learn more on Bing</v>
  </rv>
  <rv s="8">
    <v>pt-BR</v>
    <v>apninm</v>
    <v>268435456</v>
    <v>1</v>
    <v>Da plataforma Refinitiv</v>
    <v>14</v>
    <v>15</v>
    <v>Unicasa Indústria de Móveis S/A (BVMF:UCAS3)</v>
    <v>12</v>
    <v>17</v>
    <v>Finance</v>
    <v>5</v>
    <v>2.25</v>
    <v>1.38</v>
    <v>BVMF</v>
    <v>66086360</v>
    <v>1.41</v>
    <v>1985</v>
    <v>1.39</v>
    <v>0.4577</v>
    <v>B3 - Brazil Stock Exchange</v>
    <v>93181767</v>
    <v>A Unicasa Industria de Moveis S/A, antiga Unica Industria de Moveis Ltda, é uma fabricante brasileira de móveis personalizados. As operações da Companhia compreendem um segmento operacional: A produção, desenvolvimento e venda de móveis feitos sob medida em MDF ou aglomerado de média densidade (MDP). A linha de produção just-in-time da Unicasa é totalmente automatizada e personalizada para suas diferentes linhas de produtos. A empresa oferece uma ampla gama de soluções personalizadas de mobiliário para ambientes residenciais e comerciais, que incluem cozinhas, quartos, armários, home theaters, etc. lavanderias, banheiros e escritórios, entre outros. A Unicasa tem três marcas: Dell Anno, New e Casa Brasileira.</v>
    <v>BVMF</v>
    <v>1.4</v>
    <v>516</v>
    <v>45849.836805751562</v>
    <v>380</v>
    <v>39260</v>
    <v>BRL</v>
    <v>Unicasa Indústria de Móveis S/A</v>
    <v>Unicasa Indústria de Móveis S/A</v>
    <v>1.4</v>
    <v>1.41</v>
    <v>Rodovia Federal BR-470 Km 212,930, Sao Vendelino, BENTO GONCALVES, RIO GRANDE DO SUL, 95.707-540 BR</v>
    <v>Household Goods</v>
    <v>UCAS3</v>
    <v>Ações</v>
    <v>Unicasa Indústria de Móveis S/A (BVMF:UCAS3)</v>
    <v>0.01</v>
    <v>7.143E-3</v>
    <v>5900</v>
  </rv>
  <rv s="2">
    <v>381</v>
  </rv>
  <rv s="0">
    <v>https://www.bing.com/financeapi/forcetrigger?t=apnjh7&amp;q=BVMF%3aUSIM5&amp;form=skydnc</v>
    <v>Learn more on Bing</v>
  </rv>
  <rv s="8">
    <v>pt-BR</v>
    <v>apnjh7</v>
    <v>268435456</v>
    <v>1</v>
    <v>Da plataforma Refinitiv</v>
    <v>14</v>
    <v>15</v>
    <v>Usinas Siderúrgicas de Minas Gerais S/A - USIMINAS (BVMF:USIM5)</v>
    <v>12</v>
    <v>16</v>
    <v>Finance</v>
    <v>5</v>
    <v>8.6999999999999993</v>
    <v>4</v>
    <v>BVMF</v>
    <v>1253079000</v>
    <v>4.32</v>
    <v>1954</v>
    <v>4.2300000000000004</v>
    <v>0.87809999999999999</v>
    <v>B3 - Brazil Stock Exchange</v>
    <v>5474692000</v>
    <v>As Usinas Siderúrgicas de Minas Gerais SA USIMINAS e suas subsidiárias, sociedades controladas em conjunto e coligadas têm por objeto a siderurgia e outras atividades relacionadas. As atividades da Companhia incluem extração de minério de ferro, transformação do aço, produção de bens de capital e logística. Atua em quatro segmentos: Siderurgia, Mineração e Logística, Transformação do Aço e Bens de Capital. Produz e comercializa diversos produtos e matérias-primas, como aços planos, minério de ferro, peças estampadas de aço para a indústria automotiva e produtos para a construção civil e a indústria de bens de capital. Presta serviços de transferência de tecnologia na atividade siderúrgica, na gestão de projetos e prestação de serviços na área da construção civil e indústria de bens de capital, transporte rodoviário de aços planos, galvanização a quente de aços, texturização e cilindros de cromo. Possui mais de duas usinas siderúrgicas no Brasil localizadas nas cidades de Ipatinga, Estado de Minas Gerais, e de Cubatão, Estado de São Paulo.</v>
    <v>BVMF</v>
    <v>4.32</v>
    <v>51182</v>
    <v>45850</v>
    <v>383</v>
    <v>12469280</v>
    <v>BRL</v>
    <v>Usinas Siderúrgicas de Minas Gerais S/A - USIMINAS</v>
    <v>Usinas Siderúrgicas de Minas Gerais S/A - USIMINAS</v>
    <v>4.3</v>
    <v>4.29</v>
    <v>Avenida do Contorno, 6.594, Savassi, BELO HORIZONTE, MINAS GERAIS, 30.110-044 BR</v>
    <v>Metals &amp; Mining</v>
    <v>USIM5</v>
    <v>Ações</v>
    <v>Usinas Siderúrgicas de Minas Gerais S/A - USIMINAS (BVMF:USIM5)</v>
    <v>-0.03</v>
    <v>-6.9440000000000005E-3</v>
    <v>7248400</v>
  </rv>
  <rv s="2">
    <v>384</v>
  </rv>
  <rv s="0">
    <v>https://www.bing.com/financeapi/forcetrigger?t=bxf8h7&amp;q=BVMF%3aJALL3&amp;form=skydnc</v>
    <v>Learn more on Bing</v>
  </rv>
  <rv s="8">
    <v>pt-BR</v>
    <v>bxf8h7</v>
    <v>268435456</v>
    <v>1</v>
    <v>Da plataforma Refinitiv</v>
    <v>14</v>
    <v>15</v>
    <v>JALLES MACHADO S.A. (BVMF:JALL3)</v>
    <v>12</v>
    <v>17</v>
    <v>Finance</v>
    <v>5</v>
    <v>7.75</v>
    <v>3.66</v>
    <v>BVMF</v>
    <v>303541900</v>
    <v>3.72</v>
    <v>1980</v>
    <v>3.66</v>
    <v>0.38469999999999999</v>
    <v>B3 - Brazil Stock Exchange</v>
    <v>1117034000</v>
    <v>A Jalles Machado SA é uma empresa sediada no Brasil que se dedica principalmente à produção de açúcar e etanol. As atividades da Empresa estão divididas em dois segmentos operacionais: Açúcar-Energia e Borracha Natural. O segmento Sucroenergético está focado na produção de açúcar orgânico, branco e de Very High Polarization (VHP); etanol anidro, hidratado e orgânico; e outros derivados do processamento da cana-de-açúcar, como produtos de limpeza e fermento seco. O segmento Sucroenergético inclui também a cogeração de energia elétrica, utilizando o bagaço da cana-de-açúcar como fonte de energia térmica, mecânica e elétrica. O segmento Borracha Natural consiste no cultivo da seringueira e na produção de látex e seus derivados. A Companhia comercializa açúcar e produtos de limpeza sob a marca Itaja.</v>
    <v>BVMF</v>
    <v>3.69</v>
    <v>5384</v>
    <v>45849.83750020781</v>
    <v>386</v>
    <v>673280</v>
    <v>BRL</v>
    <v>JALLES MACHADO S.A.</v>
    <v>JALLES MACHADO S.A.</v>
    <v>3.71</v>
    <v>3.68</v>
    <v>Fazenda Sao Pedro - Rodovia GO-080 - Km 185, Zona Rural - Caixa Postal 04, GOIANESIA, GOIAS, 76.388-899 BR</v>
    <v>Food &amp; Tobacco</v>
    <v>JALL3</v>
    <v>Ações</v>
    <v>JALLES MACHADO S.A. (BVMF:JALL3)</v>
    <v>-0.01</v>
    <v>-2.7100000000000002E-3</v>
    <v>470100</v>
  </rv>
  <rv s="2">
    <v>387</v>
  </rv>
  <rv s="0">
    <v>https://www.bing.com/financeapi/forcetrigger?t=apm3p2&amp;q=BVMF%3aBRAP4&amp;form=skydnc</v>
    <v>Learn more on Bing</v>
  </rv>
  <rv s="9">
    <v>pt-BR</v>
    <v>apm3p2</v>
    <v>268435456</v>
    <v>1</v>
    <v>Da plataforma Refinitiv</v>
    <v>18</v>
    <v>19</v>
    <v>Bradespar S.A (BVMF:BRAP4)</v>
    <v>12</v>
    <v>27</v>
    <v>Finance</v>
    <v>5</v>
    <v>18.52</v>
    <v>14.67</v>
    <v>BVMF</v>
    <v>393096600</v>
    <v>16.71</v>
    <v>2000</v>
    <v>16.45</v>
    <v>0.9133</v>
    <v>B3 - Brazil Stock Exchange</v>
    <v>6333262000</v>
    <v>A Bradespar S.A. é uma holding brasileira que atua sobretudo na indústria siderúrgica. A principal atividade da empresa é participar em outras empresas como sócia ou acionista. Através de sua subsidiária indireta VALE S.A., a empresa atua na extração de minério de ferro, manganês e ferroligas; produção de pelotas; fabricação de minerais não-ferrosos; produção de potassa, fosfato e nitrogênio; e serviços de logística. Além disso, através de sua subsidiária indireta CPFL ENERGIA S.A., a empresa atua na distribuição, geração e comercialização de energia elétrica no Brasil.</v>
    <v>BVMF</v>
    <v>16.55</v>
    <v>45849.838777846875</v>
    <v>389</v>
    <v>3283340</v>
    <v>BRL</v>
    <v>Bradespar S.A</v>
    <v>Bradespar S.A</v>
    <v>16.46</v>
    <v>16.66</v>
    <v>Avenida Paulista, 1.450,9 andar, Cerqueira Cesar, SAO PAULO, SAO PAULO, 01.310-917 BR</v>
    <v>Metals &amp; Mining</v>
    <v>BRAP4</v>
    <v>Ações</v>
    <v>Bradespar S.A (BVMF:BRAP4)</v>
    <v>0.11</v>
    <v>6.6469999999999993E-3</v>
    <v>2067300</v>
  </rv>
  <rv s="2">
    <v>390</v>
  </rv>
  <rv s="0">
    <v>https://www.bing.com/financeapi/forcetrigger?t=apmclh&amp;q=BVMF%3aCSMG3&amp;form=skydnc</v>
    <v>Learn more on Bing</v>
  </rv>
  <rv s="8">
    <v>pt-BR</v>
    <v>apmclh</v>
    <v>268435456</v>
    <v>1</v>
    <v>Da plataforma Refinitiv</v>
    <v>14</v>
    <v>15</v>
    <v>Companhia de Saneamento de Minas Gerais - COPASA MG (BVMF:CSMG3)</v>
    <v>12</v>
    <v>17</v>
    <v>Finance</v>
    <v>5</v>
    <v>29</v>
    <v>18.760000000000002</v>
    <v>BVMF</v>
    <v>380253100</v>
    <v>27.5</v>
    <v>1963</v>
    <v>26.7</v>
    <v>0.90549999999999997</v>
    <v>B3 - Brazil Stock Exchange</v>
    <v>10373300000</v>
    <v>A Companhia de Saneamento de Minas Gerais - COPASA MG, antiga Companhia Mineira de Água e Esgoto, Comag, é uma empresa estabelecida no Brasil, que atua no abastecimento de água e serviços de saneamento. As atividades da empresa dividem-se em três segmentos de negócios: serviços de água, de esgoto e venda de produtos. A divisão de serviços de água concentra-se na gestão do sistema de fornecimento de água e na distribuição de água por meio de centros de abastecimento no estado de Minas Gerais. A divisão de serviços de esgoto é responsável pela coleta, pelo tratamento e pelo descarte de água residual. A divisão de venda de produtos inclui a produção, o engarrafamento, a distribuição e a venda de água mineral. Além disso, a empresa fornece serviços de construção, benfeitorias e reparos em infraestruturas de concessionárias de água. Opera por meio de uma série de subsidiárias, como a Copasa Serviços de Saneamento Integrado do Norte e Nordeste de Minas Gerais S.A., Copasa Serviços de Irrigação S.A. e Copasa Águas Minerais de Minas S.A.</v>
    <v>BVMF</v>
    <v>26.85</v>
    <v>10038</v>
    <v>45849.837500428126</v>
    <v>392</v>
    <v>2521930</v>
    <v>BRL</v>
    <v>Companhia de Saneamento de Minas Gerais - COPASA MG</v>
    <v>Companhia de Saneamento de Minas Gerais - COPASA MG</v>
    <v>26.75</v>
    <v>27.28</v>
    <v>Rua Mar de Espanha, 525, Santo Antonio, BELO HORIZONTE, MINAS GERAIS, 30.270-130 BR</v>
    <v>Water Utilities</v>
    <v>CSMG3</v>
    <v>Ações</v>
    <v>Companhia de Saneamento de Minas Gerais - COPASA MG (BVMF:CSMG3)</v>
    <v>0.43</v>
    <v>1.6014999999999998E-2</v>
    <v>1813600</v>
  </rv>
  <rv s="2">
    <v>393</v>
  </rv>
  <rv s="0">
    <v>https://www.bing.com/financeapi/forcetrigger?t=apn9fr&amp;q=BVMF%3aRENT3&amp;form=skydnc</v>
    <v>Learn more on Bing</v>
  </rv>
  <rv s="8">
    <v>pt-BR</v>
    <v>apn9fr</v>
    <v>268435456</v>
    <v>1</v>
    <v>Da plataforma Refinitiv</v>
    <v>14</v>
    <v>15</v>
    <v>LOCALIZA RENT A CAR S.A. (BVMF:RENT3)</v>
    <v>12</v>
    <v>16</v>
    <v>Finance</v>
    <v>5</v>
    <v>47.86</v>
    <v>26.04</v>
    <v>BVMF</v>
    <v>1082621000</v>
    <v>38.04</v>
    <v>1973</v>
    <v>36.33</v>
    <v>1.1903999999999999</v>
    <v>B3 - Brazil Stock Exchange</v>
    <v>39688885860</v>
    <v>A Localiza Rent a Car S.A é uma empresa brasileira que se dedica sobretudo ao aluguel de carros e frotas. A empresa divide seus negócios em três setores: divisão de Aluguel de automóveis, que é responsável pelo aluguel de automóveis através de suas próprias agências; divisão de Aluguel de frotas, que se dedica ao aluguel de veículos de frota para empresas por longos períodos; e a divisão de Franchising, que atua na administração e concessão de direitos de franquia para uso da marca da empresa, incluindo a transferência de conhecimentos necessários para a operação do negócio. Através de sua subsidiária Prime Prestadora de Serviços S.A., a empresa também atua na intermediação de vendas de veículos previamente usados em suas operações de aluguel. Em 31 de dezembro de 2011, a rede da empresa, incluindo franquias nacionais e estrangeiras, compreendia 449 filiais em 314 cidades no Brasil e 47 filiais em 27 cidades em sete outros países da América do Sul.</v>
    <v>BVMF</v>
    <v>38.25</v>
    <v>22134</v>
    <v>45850</v>
    <v>395</v>
    <v>8863090</v>
    <v>BRL</v>
    <v>LOCALIZA RENT A CAR S.A.</v>
    <v>LOCALIZA RENT A CAR S.A.</v>
    <v>37.92</v>
    <v>36.659999999999997</v>
    <v>Avenida Bernardo de Vasconcelos,377, Cachoeirinha, BELO HORIZONTE, MINAS GERAIS, 31.150-000 BR</v>
    <v>Passenger Transportation Services</v>
    <v>RENT3</v>
    <v>Ações</v>
    <v>LOCALIZA RENT A CAR S.A. (BVMF:RENT3)</v>
    <v>-1.59</v>
    <v>-4.1569000000000002E-2</v>
    <v>10688300</v>
  </rv>
  <rv s="2">
    <v>396</v>
  </rv>
  <rv s="0">
    <v>https://www.bing.com/financeapi/forcetrigger?t=apn8dm&amp;q=BVMF%3aRAPT4&amp;form=skydnc</v>
    <v>Learn more on Bing</v>
  </rv>
  <rv s="8">
    <v>pt-BR</v>
    <v>apn8dm</v>
    <v>268435456</v>
    <v>1</v>
    <v>Da plataforma Refinitiv</v>
    <v>14</v>
    <v>15</v>
    <v>RANDONCORP S.A. (BVMF:RAPT4)</v>
    <v>12</v>
    <v>16</v>
    <v>Finance</v>
    <v>5</v>
    <v>12.04</v>
    <v>7.86</v>
    <v>BVMF</v>
    <v>329330500</v>
    <v>8.41</v>
    <v>1992</v>
    <v>8.02</v>
    <v>0.79959999999999998</v>
    <v>B3 - Brazil Stock Exchange</v>
    <v>2732991000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8.3800000000000008</v>
    <v>6413</v>
    <v>45850</v>
    <v>398</v>
    <v>2422220</v>
    <v>BRL</v>
    <v>RANDONCORP S.A.</v>
    <v>RANDONCORP S.A.</v>
    <v>8.41</v>
    <v>8.0399999999999991</v>
    <v>Av. Abramo Randon, 770, Interlagos, CAXIAS DO SUL, RIO GRANDE DO SUL, 95.055-010 BR</v>
    <v>Automobiles &amp; Auto Parts</v>
    <v>RAPT4</v>
    <v>Ações</v>
    <v>RANDONCORP S.A. (BVMF:RAPT4)</v>
    <v>-0.34</v>
    <v>-4.0572999999999998E-2</v>
    <v>4381700</v>
  </rv>
  <rv s="2">
    <v>399</v>
  </rv>
  <rv s="0">
    <v>https://www.bing.com/financeapi/forcetrigger?t=apn8ar&amp;q=BVMF%3aRAPT3&amp;form=skydnc</v>
    <v>Learn more on Bing</v>
  </rv>
  <rv s="8">
    <v>pt-BR</v>
    <v>apn8ar</v>
    <v>268435456</v>
    <v>1</v>
    <v>Da plataforma Refinitiv</v>
    <v>14</v>
    <v>15</v>
    <v>RANDONCORP S.A. (BVMF:RAPT3)</v>
    <v>12</v>
    <v>16</v>
    <v>Finance</v>
    <v>5</v>
    <v>9.99</v>
    <v>7.31</v>
    <v>BVMF</v>
    <v>329330500</v>
    <v>8.1199999999999992</v>
    <v>1992</v>
    <v>7.8</v>
    <v>0.79959999999999998</v>
    <v>B3 - Brazil Stock Exchange</v>
    <v>2732991000</v>
    <v>RANDONCORP S.A., anteriormente denominada Randon S.A. Implementos e Participações, é uma empresa brasileira dedicada principalmente à fabricação de veículos pesados, vagões ferroviários e componentes automotivos. As operações da Empresa abrangem a produção e distribuição de uma ampla variedade de equipamentos de transporte, incluindo vagões do tipo hopper, gôndola, plataforma, tanque, sider e telescópico, além de veículos fora-de-estrada, carrocerias, reboques e semirreboques. A Empresa também fabrica e comercializa sistemas automotivos essenciais, como suspensões, freios e transmissões. Além das atividades industriais, a Randon administra grupos de consórcio para aquisição de bens duráveis e oferece serviços de financiamento aos seus clientes. A Empresa mantém presença internacional, exportando para mercados globais e operando uma rede de distribuição com alcance mundial.</v>
    <v>BVMF</v>
    <v>8.15</v>
    <v>6413</v>
    <v>45850</v>
    <v>401</v>
    <v>2422220</v>
    <v>BRL</v>
    <v>RANDONCORP S.A.</v>
    <v>RANDONCORP S.A.</v>
    <v>8.0399999999999991</v>
    <v>7.91</v>
    <v>Av. Abramo Randon, 770, Interlagos, CAXIAS DO SUL, RIO GRANDE DO SUL, 95.055-010 BR</v>
    <v>Automobiles &amp; Auto Parts</v>
    <v>RAPT3</v>
    <v>Ações</v>
    <v>RANDONCORP S.A. (BVMF:RAPT3)</v>
    <v>-0.24</v>
    <v>-2.9447999999999998E-2</v>
    <v>104700</v>
  </rv>
  <rv s="2">
    <v>402</v>
  </rv>
  <rv s="0">
    <v>https://www.bing.com/financeapi/forcetrigger?t=bxiaqh&amp;q=BVMF%3aMBLY3&amp;form=skydnc</v>
    <v>Learn more on Bing</v>
  </rv>
  <rv s="9">
    <v>pt-BR</v>
    <v>bxiaqh</v>
    <v>268435456</v>
    <v>1</v>
    <v>Da plataforma Refinitiv</v>
    <v>18</v>
    <v>19</v>
    <v>GRUPO TOKY S.A. (BVMF:TOKY3)</v>
    <v>12</v>
    <v>27</v>
    <v>Finance</v>
    <v>5</v>
    <v>3.3</v>
    <v>0.84</v>
    <v>BVMF</v>
    <v>122763400</v>
    <v>1.1000000000000001</v>
    <v>2018</v>
    <v>1.03</v>
    <v>1.5035000000000001</v>
    <v>B3 - Brazil Stock Exchange</v>
    <v>133812106</v>
    <v>Grupo Toky SA, anteriormente conhecido como Mobly SA, é uma empresa brasileira com atuação principal no setor de varejo de artigos para casa e decoração. A companhia concentra-se no varejo online e físico de móveis, itens de decoração e utilidades domésticas. O principal produto do Grupo Toky SA é uma plataforma de e-commerce, que funciona como uma solução digital de varejo baseada em nuvem. O portfólio da empresa inclui três marcas: Mobly, Tok&amp;Stok e Guldi. Os produtos oferecidos por essas marcas abrangem móveis para ambientes internos e externos, como sofás, camas, mesas de jantar, cadeiras, guarda-roupas, escrivaninhas, além de acessórios como utensílios de cozinha, louças, organizadores, vasos e cachepôs. As subsidiárias da empresa incluem Mobly Comércio Varejista Ltda, Mobly Hub Transportadora Ltda e Estok Comércio e Representações SA.</v>
    <v>BVMF</v>
    <v>1.08</v>
    <v>45849.836805671097</v>
    <v>404</v>
    <v>961920</v>
    <v>BRL</v>
    <v>GRUPO TOKY S.A.</v>
    <v>GRUPO TOKY S.A.</v>
    <v>1.06</v>
    <v>1.0900000000000001</v>
    <v>Avenida das Nacoes Unidas, n 16.737, Mezanino sala 2, Varzea de Baixo, Sao Paulo, SAO PAULO, 04.730-090 BR</v>
    <v>Specialty Retailers</v>
    <v>TOKY3</v>
    <v>Ações</v>
    <v>GRUPO TOKY S.A. (BVMF:TOKY3)</v>
    <v>0.01</v>
    <v>9.2589999999999999E-3</v>
    <v>152900</v>
  </rv>
  <rv s="2">
    <v>405</v>
  </rv>
  <rv s="0">
    <v>https://www.bing.com/financeapi/forcetrigger?t=apmo1h&amp;q=BVMF%3aGOAU4&amp;form=skydnc</v>
    <v>Learn more on Bing</v>
  </rv>
  <rv s="8">
    <v>pt-BR</v>
    <v>apmo1h</v>
    <v>268435456</v>
    <v>1</v>
    <v>Da plataforma Refinitiv</v>
    <v>14</v>
    <v>15</v>
    <v>METALURGICA GERDAU S.A. (BVMF:GOAU4)</v>
    <v>12</v>
    <v>17</v>
    <v>Finance</v>
    <v>5</v>
    <v>11.8</v>
    <v>7.6</v>
    <v>BVMF</v>
    <v>993705800</v>
    <v>9.43</v>
    <v>1901</v>
    <v>9.25</v>
    <v>0.67800000000000005</v>
    <v>B3 - Brazil Stock Exchange</v>
    <v>9257687000</v>
    <v>A Metalúrgica Gerdau S.A., anteriormente Metalúrgica Hugo Gerdau S.A., é uma empresa brasileira que se dedica ao setor de produção de aço. A Empresa se concentra na fabricação de itens de aço longo e plano, essencialmente através do processo de fabricação em fornos elétricos, a partir de sucata de metal e ferro-gusa comprado, bem como na produção de aço a partir de minério de ferro em alto-forno e por redução direta. Suas atividades se dividem em quatro segmentos: Operações no Brasil, Operações na América do Norte, Operações na América Latina e Unidade de aço especial. Seus produtos são distribuídos em diversos setores, como da construção civil, agricultura e indústria automotiva, e a Empresa opera fábricas no Brasil, Argentina, Chile, Colômbia, México, Peru, Venezuela, Estados Unidos, Canadá, Espanha e Índia, entre outros.</v>
    <v>BVMF</v>
    <v>9.4600000000000009</v>
    <v>30000</v>
    <v>45849.838716585153</v>
    <v>407</v>
    <v>5970730</v>
    <v>BRL</v>
    <v>METALURGICA GERDAU S.A.</v>
    <v>METALURGICA GERDAU S.A.</v>
    <v>9.4</v>
    <v>9.32</v>
    <v>Avenida Doutora Ruth Cardoso, 8.501,8 andar, Pinheiros, SAO PAULO, SAO PAULO, 05.425-070 BR</v>
    <v>Metals &amp; Mining</v>
    <v>GOAU4</v>
    <v>Ações</v>
    <v>METALURGICA GERDAU S.A. (BVMF:GOAU4)</v>
    <v>-0.14000000000000001</v>
    <v>-1.4799E-2</v>
    <v>5616500</v>
  </rv>
  <rv s="2">
    <v>408</v>
  </rv>
  <rv s="4">
    <v>12</v>
    <v>Beta</v>
    <v>0</v>
  </rv>
  <rv s="0">
    <v>https://www.bing.com/financeapi/forcetrigger?t=apmfar&amp;q=BVMF%3aDOHL4&amp;form=skydnc</v>
    <v>Learn more on Bing</v>
  </rv>
  <rv s="15">
    <v>pt-BR</v>
    <v>apmfar</v>
    <v>268435456</v>
    <v>1</v>
    <v>Da plataforma Refinitiv</v>
    <v>35</v>
    <v>36</v>
    <v>DOHLER S.A. (BVMF:DOHL4)</v>
    <v>12</v>
    <v>37</v>
    <v>Finance</v>
    <v>5</v>
    <v>4.3899999999999997</v>
    <v>3.49</v>
    <v>BVMF</v>
    <v>75645290</v>
    <v>4.33</v>
    <v>1944</v>
    <v>4.33</v>
    <v>B3 - Brazil Stock Exchange</v>
    <v>446162800</v>
    <v>A Döhler S/A., anteriormente Döhler S/A. Comércio e Indústria, é uma empresa brasileira que atua na indústria têxtil. A Empresa atua na fabricação e comercialização de algodão, tecidos artificiais, sintéticos ou mistos para uso doméstico ou industrial. O portfólio de produtos da Empresa inclui diversos produtos têxteis para o lar, como roupa de cama, louça, utensílios de cozinha, toalhas, roupões, cortinas e tapetes de banho, além de produtos para fins industriais: tecidos para persianas, colchões e impressão digital. Além disso, através do segmento Linhas de serviço, a Empresa oferece produtos têxteis para segmentos profissionais: hotéis, motéis, hospitais e clínicas. Em 31 de dezembro de 2011, as subsidiárias da Empresa eram a Comfio Companhia Catarinense de Fiação e a Dohler USA Inc.</v>
    <v>BVMF</v>
    <v>4.3499999999999996</v>
    <v>3000</v>
    <v>45850</v>
    <v>411</v>
    <v>BRL</v>
    <v>DOHLER S.A.</v>
    <v>DOHLER S.A.</v>
    <v>4.33</v>
    <v>4.33</v>
    <v>Rua Arno Waldemar Dohler, 145, Zona Indl. Norte, JOINVILLE, SANTA CATARINA, 89.219-902 BR</v>
    <v>Textiles &amp; Apparel</v>
    <v>DOHL4</v>
    <v>Ações</v>
    <v>DOHLER S.A. (BVMF:DOHL4)</v>
    <v>-0.02</v>
    <v>-4.5979999999999997E-3</v>
    <v>200</v>
  </rv>
  <rv s="2">
    <v>412</v>
  </rv>
  <rv s="0">
    <v>https://www.bing.com/financeapi/forcetrigger?t=apm3ur&amp;q=BVMF%3aBRFS3&amp;form=skydnc</v>
    <v>Learn more on Bing</v>
  </rv>
  <rv s="8">
    <v>pt-BR</v>
    <v>apm3ur</v>
    <v>268435456</v>
    <v>1</v>
    <v>Da plataforma Refinitiv</v>
    <v>14</v>
    <v>15</v>
    <v>BRF S.A. (BVMF:BRFS3)</v>
    <v>12</v>
    <v>16</v>
    <v>Finance</v>
    <v>5</v>
    <v>28.87</v>
    <v>17.309999999999999</v>
    <v>BVMF</v>
    <v>1682473000</v>
    <v>22.83</v>
    <v>1934</v>
    <v>21.86</v>
    <v>1.5613999999999999</v>
    <v>B3 - Brazil Stock Exchange</v>
    <v>37014410000</v>
    <v>A BRF S.A. é uma empresa multinacional brasileira que possui um portfólio diversificado de produtos e é um produtor de alimentos. Os segmentos da Companhia incluem Brasil, América Latina (LATAM), Médio Oriente e Norte da África (MENA), África e Outros Segmentos. Esses segmentos incluem vendas de todos os canais de distribuição e operações subdivididas em aves, suínos e outras, processadas e outras vendas. As operações avícolas incluem a produção e venda de cortes integrais e ao natural de aves. A carne suína e outras operações envolvem a produção e a venda de cortes naturais. As operações processadas incluem a produção e venda de alimentos processados, produtos congelados e processados derivados de produtos de aves, carne suína e bovina, margarina, produtos vegetais e à base de soja. As outras operações de vendas incluem a comercialização de farinha para serviço de alimentação e outras. Outros segmentos incluem a venda de cortes naturais de carne bovina, produtos agrícolas e ração animal.</v>
    <v>BVMF</v>
    <v>23</v>
    <v>100000</v>
    <v>45850</v>
    <v>414</v>
    <v>17541330</v>
    <v>BRL</v>
    <v>BRF S.A.</v>
    <v>BRF S.A.</v>
    <v>22.74</v>
    <v>21.88</v>
    <v>Av. Jorge Tzachel, 475, Fazenda, ITAJAI, SANTA CATARINA, 88.301-600 BR</v>
    <v>Food &amp; Tobacco</v>
    <v>BRFS3</v>
    <v>Ações</v>
    <v>BRF S.A. (BVMF:BRFS3)</v>
    <v>-1.1200000000000001</v>
    <v>-4.8696000000000003E-2</v>
    <v>11190500</v>
  </rv>
  <rv s="2">
    <v>415</v>
  </rv>
  <rv s="0">
    <v>https://www.bing.com/financeapi/forcetrigger?t=bxmpim&amp;q=BVMF%3aINTB3&amp;form=skydnc</v>
    <v>Learn more on Bing</v>
  </rv>
  <rv s="9">
    <v>pt-BR</v>
    <v>bxmpim</v>
    <v>268435456</v>
    <v>1</v>
    <v>Da plataforma Refinitiv</v>
    <v>18</v>
    <v>19</v>
    <v>Intelbras S.A. Indústria de Telecomunicação Eletrônica Brasileira (BVMF:INTB3)</v>
    <v>12</v>
    <v>27</v>
    <v>Finance</v>
    <v>5</v>
    <v>22.84</v>
    <v>11.26</v>
    <v>BVMF</v>
    <v>327611100</v>
    <v>14.41</v>
    <v>1974</v>
    <v>14.11</v>
    <v>1.2587999999999999</v>
    <v>B3 - Brazil Stock Exchange</v>
    <v>4678287000</v>
    <v>A Intelbras SA Indústria de Telecomunicação Eletrônica Brasileira é uma empresa brasileira que atua na fabricação, desenvolvimento e comercialização de equipamentos eletrônicos. As atividades da Empresa estão divididas em três segmentos operacionais: Segurança, Comunicação e Energia. O segmento de Segurança está focado na segurança eletrônica, como equipamentos de videovigilância analógica (CFTV), videovigilância por protocolo de Internet (CCTV IP), controle de acesso e alarmes e sensores contra invasão e incêndio. O segmento de Comunicação é dedicado à comunicação de voz, imagem e dados, bem como à infraestrutura de rede. O segmento de Energia atua no fornecimento de energia para equipamentos eletroeletrônicos e consumidores, além de dispositivos de economia de energia e nobreak para residências, empresas e edifícios. A Companhia vende seus produtos principalmente no Brasil e também os exporta para outros países das Américas do Sul e Central, Angola, Moçambique e Egito.</v>
    <v>BVMF</v>
    <v>14.36</v>
    <v>45849.837500289061</v>
    <v>417</v>
    <v>2224130</v>
    <v>BRL</v>
    <v>Intelbras S.A. Indústria de Telecomunicação Eletrônica Brasileira</v>
    <v>Intelbras S.A. Indústria de Telecomunicação Eletrônica Brasileira</v>
    <v>14.36</v>
    <v>14.28</v>
    <v>Rodovia BR 101 Km 210, Area Industrial, SAO JOSE, SANTA CATARINA, 88.104-800 BR</v>
    <v>Communications &amp; Networking</v>
    <v>INTB3</v>
    <v>Ações</v>
    <v>Intelbras S.A. Indústria de Telecomunicação Eletrônica Brasileira (BVMF:INTB3)</v>
    <v>-0.08</v>
    <v>-5.5710000000000004E-3</v>
    <v>1570400</v>
  </rv>
  <rv s="2">
    <v>418</v>
  </rv>
  <rv s="0">
    <v>https://www.bing.com/financeapi/forcetrigger?t=c2ry1h&amp;q=BVMF%3aCBAV3&amp;form=skydnc</v>
    <v>Learn more on Bing</v>
  </rv>
  <rv s="8">
    <v>pt-BR</v>
    <v>c2ry1h</v>
    <v>268435456</v>
    <v>1</v>
    <v>Da plataforma Refinitiv</v>
    <v>14</v>
    <v>15</v>
    <v>Companhia Brasileira de Alumínio (BVMF:CBAV3)</v>
    <v>12</v>
    <v>17</v>
    <v>Finance</v>
    <v>5</v>
    <v>7.62</v>
    <v>3.6</v>
    <v>BVMF</v>
    <v>651072700</v>
    <v>4.93</v>
    <v>1941</v>
    <v>4.76</v>
    <v>0.97650000000000003</v>
    <v>B3 - Brazil Stock Exchange</v>
    <v>3190256000</v>
    <v>A Companhia Brasileira de Aluminio é uma produtora brasileira de alumínio de baixo carbono que é utilizada em diversas indústrias. As operações da Companhia compreendem toda a cadeia de valor do alumínio: Desde as minas onde a bauxita é extraída, passando pelas refinarias onde a bauxita é processada em óxido de alumínio e fundições onde o alumínio fundido é produzido, até as instalações onde o alumínio é feito em uma gama de produtos primários (lingotes, lajes, tarugos e hastes) e produtos semifabricados (rolos de rodízio, folha, folha, folha, folha, folha, perfis extrudados, peças e componentes). O portfólio da Companhia Brasileira de Aluminio inclui produtos primários, produtos semi-fabricados, além de passaportes digitais. As subsidiárias da Companhia incluem a CBA Machadinho Geracao de Energia Ltda, Alux do Brasil Industria e Comercio Ltda, Santa Cruz Geracao de Energia SA e a CBA Itapissuma Ltda.</v>
    <v>BVMF</v>
    <v>4.8099999999999996</v>
    <v>5811</v>
    <v>45849.838194941403</v>
    <v>420</v>
    <v>3416700</v>
    <v>BRL</v>
    <v>Companhia Brasileira de Alumínio</v>
    <v>Companhia Brasileira de Alumínio</v>
    <v>4.8</v>
    <v>4.9000000000000004</v>
    <v>Av. Luis Carlos Berrini, 105, 14 andar, Cidade Moncoes, SAO PAULO, SAO PAULO, 04.571-900 BR</v>
    <v>Metals &amp; Mining</v>
    <v>CBAV3</v>
    <v>Ações</v>
    <v>Companhia Brasileira de Alumínio (BVMF:CBAV3)</v>
    <v>0.09</v>
    <v>1.8710999999999998E-2</v>
    <v>3074300</v>
  </rv>
  <rv s="2">
    <v>421</v>
  </rv>
  <rv s="0">
    <v>https://www.bing.com/financeapi/forcetrigger?t=apmtz2&amp;q=BVMF%3aKLBN3&amp;form=skydnc</v>
    <v>Learn more on Bing</v>
  </rv>
  <rv s="8">
    <v>pt-BR</v>
    <v>apmtz2</v>
    <v>268435456</v>
    <v>1</v>
    <v>Da plataforma Refinitiv</v>
    <v>14</v>
    <v>15</v>
    <v>KLABIN S.A. (BVMF:KLBN3)</v>
    <v>12</v>
    <v>17</v>
    <v>Finance</v>
    <v>5</v>
    <v>4.92</v>
    <v>3.56</v>
    <v>BVMF</v>
    <v>1235936000</v>
    <v>3.85</v>
    <v>1978</v>
    <v>3.77</v>
    <v>0.35980000000000001</v>
    <v>B3 - Brazil Stock Exchange</v>
    <v>23116710000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3.85</v>
    <v>14207</v>
    <v>45849.837500450783</v>
    <v>423</v>
    <v>1857820</v>
    <v>BRL</v>
    <v>KLABIN S.A.</v>
    <v>KLABIN S.A.</v>
    <v>3.85</v>
    <v>3.81</v>
    <v>Avenida Brigadeiro Faria Lima, 3600, 3, 4 E 5 Andares, Itaim Bibi, SAO PAULO, SAO PAULO, 04.538-132 BR</v>
    <v>Containers &amp; Packaging</v>
    <v>KLBN3</v>
    <v>Ações</v>
    <v>KLABIN S.A. (BVMF:KLBN3)</v>
    <v>-0.04</v>
    <v>-1.039E-2</v>
    <v>160300</v>
  </rv>
  <rv s="2">
    <v>424</v>
  </rv>
  <rv s="0">
    <v>https://www.bing.com/financeapi/forcetrigger?t=bwaq4c&amp;q=BVMF%3aGMAT3&amp;form=skydnc</v>
    <v>Learn more on Bing</v>
  </rv>
  <rv s="8">
    <v>pt-BR</v>
    <v>bwaq4c</v>
    <v>268435456</v>
    <v>1</v>
    <v>Da plataforma Refinitiv</v>
    <v>14</v>
    <v>15</v>
    <v>GRUPO MATEUS S.A. (BVMF:GMAT3)</v>
    <v>12</v>
    <v>17</v>
    <v>Finance</v>
    <v>5</v>
    <v>8.3800000000000008</v>
    <v>5.75</v>
    <v>BVMF</v>
    <v>2248470000</v>
    <v>8.06</v>
    <v>2016</v>
    <v>7.91</v>
    <v>1.2975000000000001</v>
    <v>B3 - Brazil Stock Exchange</v>
    <v>17875336500</v>
    <v>O Grupo Mateus SA é uma empresa com sede no Brasil que atua no setor de distribuição de alimentos. As atividades da Companhia estão divididas em duas linhas de negócios: Atacado e Varejo. A área de Atacado concentra-se em lojas de autoatendimento e estabelecimentos delivery, sob as marcas Mix Atacarejo e Armazem Mateus, para clientes de atacado. O segmento de Varejo opera supermercados com as marcas Mateus Supermercados e Hiper Mateus, lojas de conveniência com a marca Camino, lojas de eletrodomésticos e móveis com a marca Eletro Mateus, além de plataformas de e-commerce: Mateus Online, Canto do Chef e Supermercado do Futuro. A Companhia também oferece serviços financeiros, como soluções de crédito ao consumidor, por meio dos cartões MateusCard e Crednosso.</v>
    <v>BVMF</v>
    <v>8.01</v>
    <v>29668</v>
    <v>45849.837500196096</v>
    <v>426</v>
    <v>3567580</v>
    <v>BRL</v>
    <v>GRUPO MATEUS S.A.</v>
    <v>GRUPO MATEUS S.A.</v>
    <v>7.95</v>
    <v>7.95</v>
    <v>Av. Daniel de la Touche, 73A, Cohama, SAO LUIS, MARANHAO, 65.074-115 BR</v>
    <v>Food &amp; Drug Retailing</v>
    <v>GMAT3</v>
    <v>Ações</v>
    <v>GRUPO MATEUS S.A. (BVMF:GMAT3)</v>
    <v>-0.06</v>
    <v>-7.4910000000000003E-3</v>
    <v>2025700</v>
  </rv>
  <rv s="2">
    <v>427</v>
  </rv>
  <rv s="0">
    <v>https://www.bing.com/financeapi/forcetrigger?t=apngxm&amp;q=BVMF%3aTIMS3&amp;form=skydnc</v>
    <v>Learn more on Bing</v>
  </rv>
  <rv s="8">
    <v>pt-BR</v>
    <v>apngxm</v>
    <v>268435456</v>
    <v>1</v>
    <v>Da plataforma Refinitiv</v>
    <v>14</v>
    <v>15</v>
    <v>TIM S.A. (BVMF:TIMS3)</v>
    <v>12</v>
    <v>17</v>
    <v>Finance</v>
    <v>5</v>
    <v>22.79</v>
    <v>12.82</v>
    <v>BVMF</v>
    <v>2420804000</v>
    <v>21.78</v>
    <v>1998</v>
    <v>20.99</v>
    <v>0.68049999999999999</v>
    <v>B3 - Brazil Stock Exchange</v>
    <v>51224220000</v>
    <v>A Tim SA, anteriormente conhecida como Intelig Telecomunicacoes Ltda, é uma empresa de telecomunicações com sede no Brasil. A empresa oferece serviços móveis de voz e dados, acesso à Internet de banda larga, serviços de valor agregado e outros serviços e produtos de telecomunicações. A empresa oferece um portfólio completo para indivíduos e soluções corporativas para pequenas, médias e grandes empresas. Além dos serviços tradicionais de voz e dados, a empresa oferece um serviço de banda larga de linha fixa, TIM Live, tecnologia WTTx através do serviço Ultrafibra e soluções de IoT. A empresa também oferece uma variedade de conteúdo digital e serviços em seu portfólio de pacotes. A Companhia é controlada pela Tim Brasil Servicos e Participações SA.</v>
    <v>BVMF</v>
    <v>21.53</v>
    <v>9127</v>
    <v>45849.838884154684</v>
    <v>429</v>
    <v>5407280</v>
    <v>BRL</v>
    <v>TIM S.A.</v>
    <v>TIM S.A.</v>
    <v>21.33</v>
    <v>21.16</v>
    <v>Av Joao Cabral De Mello Neto 00850 Blc 001 Salas 0501 A 1208, Barra Da Tijuca, RIO DE JANEIRO, RIO DE JANEIRO, 22.775-057 BR</v>
    <v>Telecommunications Services</v>
    <v>TIMS3</v>
    <v>Ações</v>
    <v>TIM S.A. (BVMF:TIMS3)</v>
    <v>-0.37</v>
    <v>-1.7184999999999999E-2</v>
    <v>7217200</v>
  </rv>
  <rv s="2">
    <v>430</v>
  </rv>
  <rv s="0">
    <v>https://www.bing.com/financeapi/forcetrigger?t=apm352&amp;q=BVMF%3aBPAC3&amp;form=skydnc</v>
    <v>Learn more on Bing</v>
  </rv>
  <rv s="8">
    <v>pt-BR</v>
    <v>apm352</v>
    <v>268435456</v>
    <v>1</v>
    <v>Da plataforma Refinitiv</v>
    <v>14</v>
    <v>15</v>
    <v>Banco BTG Pactual S.A. (BVMF:BPAC3)</v>
    <v>12</v>
    <v>16</v>
    <v>Finance</v>
    <v>5</v>
    <v>24.07</v>
    <v>13.16</v>
    <v>BVMF</v>
    <v>10108690000</v>
    <v>23.46</v>
    <v>1979</v>
    <v>22.2</v>
    <v>1.3775999999999999</v>
    <v>B3 - Brazil Stock Exchange</v>
    <v>189468600000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22.58</v>
    <v>4900</v>
    <v>45850</v>
    <v>432</v>
    <v>8884360</v>
    <v>BRL</v>
    <v>Banco BTG Pactual S.A.</v>
    <v>Banco BTG Pactual S.A.</v>
    <v>22.99</v>
    <v>22.5</v>
    <v>Praia de Botafogo, 501, 5 e 6 andares, Botafogo, RIO DE JANEIRO, RIO DE JANEIRO, 22.250-040 BR</v>
    <v>Investment Banking &amp; Investment Services</v>
    <v>BPAC3</v>
    <v>Ações</v>
    <v>Banco BTG Pactual S.A. (BVMF:BPAC3)</v>
    <v>-0.08</v>
    <v>-3.5430000000000001E-3</v>
    <v>2800</v>
  </rv>
  <rv s="2">
    <v>433</v>
  </rv>
  <rv s="0">
    <v>https://www.bing.com/financeapi/forcetrigger?t=bsfxec&amp;q=BVMF%3aVIVA3&amp;form=skydnc</v>
    <v>Learn more on Bing</v>
  </rv>
  <rv s="8">
    <v>pt-BR</v>
    <v>bsfxec</v>
    <v>268435456</v>
    <v>1</v>
    <v>Da plataforma Refinitiv</v>
    <v>14</v>
    <v>15</v>
    <v>Vivara Participações S.A. (BVMF:VIVA3)</v>
    <v>12</v>
    <v>17</v>
    <v>Finance</v>
    <v>5</v>
    <v>28.31</v>
    <v>15.76</v>
    <v>BVMF</v>
    <v>236197800</v>
    <v>25.96</v>
    <v>2019</v>
    <v>25.25</v>
    <v>1.4258999999999999</v>
    <v>B3 - Brazil Stock Exchange</v>
    <v>6025405878</v>
    <v>A Vivara Participações SA é uma holding sediada no Brasil que atua em vários estados do Brasil, através de inúmeras subsidiárias. No entanto, as operações da Companhia são centralizadas principalmente no estado de São Paulo. A empresa desenvolveu um portfólio de marcas, incluindo Vivara, Life by Vivara, Vivara Watches, Vivara Fragrâncias, Vivara, Vivara, e Vivara Acessórios. Essas marcas se concentram em produtos como joias de ouro, joias de prata, relógios e acessórios. A empresa possui um modelo de negócios verticalmente integrado, desde a criação e design até a produção, estratégia de marketing, distribuição (omni-channel) e marketing. A Companhia possui um segmento operacional chamado varejo, composto por vendas de produtos através de suas lojas físicas e plataformas online.</v>
    <v>BVMF</v>
    <v>26.2</v>
    <v>6216</v>
    <v>45849.838194664066</v>
    <v>435</v>
    <v>2487030</v>
    <v>BRL</v>
    <v>Vivara Participações S.A.</v>
    <v>Vivara Participações S.A.</v>
    <v>25.8</v>
    <v>25.51</v>
    <v>Rua Arquiteto Olavo Redig de Campos, 105 -15 andar, Chacara Santo Antonio, Sao Paulo, SAO PAULO, 04.709-000 BR</v>
    <v>Specialty Retailers</v>
    <v>VIVA3</v>
    <v>Ações</v>
    <v>Vivara Participações S.A. (BVMF:VIVA3)</v>
    <v>-0.69</v>
    <v>-2.6335999999999998E-2</v>
    <v>2749800</v>
  </rv>
  <rv s="2">
    <v>436</v>
  </rv>
  <rv s="0">
    <v>https://www.bing.com/financeapi/forcetrigger?t=boezz2&amp;q=BVMF%3aLOGG3&amp;form=skydnc</v>
    <v>Learn more on Bing</v>
  </rv>
  <rv s="14">
    <v>pt-BR</v>
    <v>boezz2</v>
    <v>268435456</v>
    <v>1</v>
    <v>Da plataforma Refinitiv</v>
    <v>31</v>
    <v>32</v>
    <v>Log Commercial Properties e Participações S/A (BVMF:LOGG3)</v>
    <v>12</v>
    <v>33</v>
    <v>Finance</v>
    <v>5</v>
    <v>22.85</v>
    <v>15.82</v>
    <v>BVMF</v>
    <v>87859150</v>
    <v>20.37</v>
    <v>20.09</v>
    <v>1.1571</v>
    <v>B3 - Brazil Stock Exchange</v>
    <v>1765090323</v>
    <v>A Log Commercial Properties e Participações SA é uma empresa sediada no Brasil, que atua no desenvolvimento, construção e locação de propriedades comerciais, tais como objetos do setor de logística, construção residencial, objetos industriais e comerciais entre outros. A Companhia atua no Brasil e no exterior em várias cidades, incluindo: Rio de Janeiro, São Paulo, Goiás, Bahia, Ceará e Paraná, entre outras, além de possuir um portfólio de mais de 1,5 milhão de m2, com operações projetadas em todo o território nacional.</v>
    <v>BVMF</v>
    <v>20.18</v>
    <v>45849.838808553126</v>
    <v>438</v>
    <v>180750</v>
    <v>BRL</v>
    <v>Log Commercial Properties e Participações S/A</v>
    <v>Log Commercial Properties e Participações S/A</v>
    <v>20.25</v>
    <v>20.09</v>
    <v>Av. Professor Mario Werneck, n 621, 10 andar, BH/MG, Conjunto 02, Estoril, BELO HORIZONTE, MINAS GERAIS, 30.455-610 BR</v>
    <v>Real Estate Operations</v>
    <v>LOGG3</v>
    <v>Ações</v>
    <v>Log Commercial Properties e Participações S/A (BVMF:LOGG3)</v>
    <v>-0.09</v>
    <v>-4.4600000000000004E-3</v>
    <v>125100</v>
  </rv>
  <rv s="2">
    <v>439</v>
  </rv>
  <rv s="0">
    <v>https://www.bing.com/financeapi/forcetrigger?t=apn7pr&amp;q=BVMF%3aQUAL3&amp;form=skydnc</v>
    <v>Learn more on Bing</v>
  </rv>
  <rv s="8">
    <v>pt-BR</v>
    <v>apn7pr</v>
    <v>268435456</v>
    <v>1</v>
    <v>Da plataforma Refinitiv</v>
    <v>14</v>
    <v>15</v>
    <v>QUALICORP CONSULTORIA E CORRETORA DE SEGUROS S.A. (BVMF:QUAL3)</v>
    <v>12</v>
    <v>17</v>
    <v>Finance</v>
    <v>5</v>
    <v>2.74</v>
    <v>1.37</v>
    <v>BVMF</v>
    <v>284014300</v>
    <v>1.83</v>
    <v>2010</v>
    <v>1.75</v>
    <v>1.4140999999999999</v>
    <v>B3 - Brazil Stock Exchange</v>
    <v>502705400</v>
    <v>A Qualicorp Consultoria e Corretora de Seguros SA, anteriormente Qualicorp SA, é uma empresa sediada no Brasil que atua principalmente no setor de seguros de saúde. A Companhia se concentra na administração e gerenciamento de planos de saúde, incluindo saúde em grupo e seguro odontológico. Suas atividades estão divididas em duas áreas: Afinidade e Corporativa. A divisão Affinity oferece serviços intermediários entre provedores e instituições de seguros, além de serviços administrativos adicionais, como monitoramento dos serviços médicos utilizados e faturamento mensal. A divisão Corporativa fornece consultoria de seguros, corretagem, gerenciamento de benefícios terceirizados, conectividade e risco para empresas nacionais e internacionais, além de órgãos governamentais. A Companhia opera através de várias subsidiárias, como a Qualicorp Corretora de Seguros SA, a Qualicorp Administradora de Benefícios SA e a Gama Saude Ltda.</v>
    <v>BVMF</v>
    <v>1.81</v>
    <v>1558</v>
    <v>45849.838194999997</v>
    <v>441</v>
    <v>1163880</v>
    <v>BRL</v>
    <v>QUALICORP CONSULTORIA E CORRETORA DE SEGUROS S.A.</v>
    <v>QUALICORP CONSULTORIA E CORRETORA DE SEGUROS S.A.</v>
    <v>1.83</v>
    <v>1.77</v>
    <v>Avenida Paulista, 4753 andar - parte, Bela Vista, SAO PAULO, SAO PAULO, 01.311-000 BR</v>
    <v>Insurance</v>
    <v>QUAL3</v>
    <v>Ações</v>
    <v>QUALICORP CONSULTORIA E CORRETORA DE SEGUROS S.A. (BVMF:QUAL3)</v>
    <v>-0.04</v>
    <v>-2.2099000000000001E-2</v>
    <v>1719900</v>
  </rv>
  <rv s="2">
    <v>442</v>
  </rv>
  <rv s="0">
    <v>https://www.bing.com/financeapi/forcetrigger?t=apn54c&amp;q=BVMF%3aPNVL3&amp;form=skydnc</v>
    <v>Learn more on Bing</v>
  </rv>
  <rv s="8">
    <v>pt-BR</v>
    <v>apn54c</v>
    <v>268435456</v>
    <v>1</v>
    <v>Da plataforma Refinitiv</v>
    <v>14</v>
    <v>15</v>
    <v>DIMED S.A. DISTRIBUIDORA DE MEDICAMENTOS (BVMF:PNVL3)</v>
    <v>12</v>
    <v>16</v>
    <v>Finance</v>
    <v>5</v>
    <v>10.76</v>
    <v>7.68</v>
    <v>BVMF</v>
    <v>150377500</v>
    <v>9.48</v>
    <v>1920</v>
    <v>9.2799999999999994</v>
    <v>1.1869000000000001</v>
    <v>B3 - Brazil Stock Exchange</v>
    <v>1404526000</v>
    <v>A DIMED S.A. DISTRIBUIDORA DE MEDICAMENTOS, anteriormente Panvel S.A. Drogarias e Farmácias, é uma empresa brasileira que se dedica essencialmente à venda de medicamentos. A Empresa, juntamente com suas subsidiárias, vende, distribui, importa, exporta e produz uma variedade de produtos, incluindo medicamentos, perfumes, cosméticos, dermocosméticos, produtos de cuidados pessoais, suplementos dietéticos e acessórios de fisioterapia, ortopédicos e de fitness. A Empresa organiza seus negócios em dois segmentos principais: Medicamentos e Perfumaria. A Empresa fornece distribuição no varejo e atacado. Em 31 de dezembro de 2011, a Empresa possuía centros de distribuição nos estados brasileiros do Rio Grande do Sul, Santa Catarina, Paraná, Goiás e Espírito Santo, além de 284 lojas nos estados do Rio Grande do Sul, Santa Catarina e Paraná.</v>
    <v>BVMF</v>
    <v>9.42</v>
    <v>10698</v>
    <v>45850</v>
    <v>444</v>
    <v>339020</v>
    <v>BRL</v>
    <v>DIMED S.A. DISTRIBUIDORA DE MEDICAMENTOS</v>
    <v>DIMED S.A. DISTRIBUIDORA DE MEDICAMENTOS</v>
    <v>9.39</v>
    <v>9.34</v>
    <v>Avenida Industrial Belgraff, 865, Predio 100, Industrial, ELDORADO DO SUL, RIO GRANDE DO SUL, 92.990-000 BR</v>
    <v>Food &amp; Drug Retailing</v>
    <v>PNVL3</v>
    <v>Ações</v>
    <v>DIMED S.A. DISTRIBUIDORA DE MEDICAMENTOS (BVMF:PNVL3)</v>
    <v>-0.08</v>
    <v>-8.4930000000000005E-3</v>
    <v>235900</v>
  </rv>
  <rv s="2">
    <v>445</v>
  </rv>
  <rv s="16">
    <v>pt-BR</v>
    <v>cg99rw</v>
    <v>268435456</v>
    <v>1</v>
    <v>Da plataforma Refinitiv</v>
    <v>38</v>
    <v>39</v>
    <v>Brompton Split Corp. Cl A ETF (NEOE:CLSA)</v>
    <v>40</v>
    <v>41</v>
    <v>Finance</v>
    <v>42</v>
    <v>11.34</v>
    <v>8.83</v>
    <v>NEOE</v>
    <v>11.07</v>
    <v>11.03</v>
    <v>NEO Exchange</v>
    <v>6405862</v>
    <v>11.34</v>
    <v>45845.803127731248</v>
    <v>CAD</v>
    <v>Brompton Split Corp. Cl A ETF</v>
    <v>11.07</v>
    <v>11.03</v>
    <v>CLSA</v>
    <v>Fundos mais negociados</v>
    <v>Brompton Split Corp. Cl A ETF (NEOE:CLSA)</v>
    <v>-0.31</v>
    <v>-2.7336999999999997E-2</v>
    <v>1400</v>
  </rv>
  <rv s="2">
    <v>447</v>
  </rv>
  <rv s="4">
    <v>12</v>
    <v>Ações em circulação</v>
    <v>0</v>
  </rv>
  <rv s="6">
    <v>12</v>
    <v>1</v>
  </rv>
  <rv s="0">
    <v>https://www.bing.com/financeapi/forcetrigger?t=apmu2w&amp;q=BVMF%3aKLBN4&amp;form=skydnc</v>
    <v>Learn more on Bing</v>
  </rv>
  <rv s="8">
    <v>pt-BR</v>
    <v>apmu2w</v>
    <v>268435456</v>
    <v>1</v>
    <v>Da plataforma Refinitiv</v>
    <v>14</v>
    <v>15</v>
    <v>KLABIN S.A. (BVMF:KLBN4)</v>
    <v>12</v>
    <v>17</v>
    <v>Finance</v>
    <v>5</v>
    <v>4.6900000000000004</v>
    <v>3.48</v>
    <v>BVMF</v>
    <v>1235936000</v>
    <v>3.74</v>
    <v>1978</v>
    <v>3.67</v>
    <v>0.35980000000000001</v>
    <v>B3 - Brazil Stock Exchange</v>
    <v>23116710000</v>
    <v>A KLABIN S.A., junto com suas subsidiárias, atua em segmentos da indústria atendendo mercados nacionais e estrangeiros, fornecendo madeira, papel para embalagens, sacos de papel e caixas de papelão ondulado. Os segmentos operacionais da Empresa incluem os segmentos Florestal, Papel, Conversão e Celulose. O segmento Florestal envolve operações de plantio e cultivo de pinus e eucaliptos para abastecimento de fábricas de papel da Empresa. O segmento Florestal envolve também a venda de madeira (toras) a terceiros no mercado interno. O segmento de Papel envolve principalmente a produção e venda de papelão, papel para embalagem e rolos de papel reciclado nos mercados interno e externo. O segmento de Conversão envolve a produção e venda de caixas de papelão ondulado, cartão ondulado e sacos industriais nos mercados interno e externo. O segmento de Celulose envolve a operação do Projeto Puma.</v>
    <v>BVMF</v>
    <v>3.73</v>
    <v>14207</v>
    <v>45849.83819481406</v>
    <v>451</v>
    <v>1959120</v>
    <v>BRL</v>
    <v>KLABIN S.A.</v>
    <v>KLABIN S.A.</v>
    <v>3.73</v>
    <v>3.7</v>
    <v>Avenida Brigadeiro Faria Lima, 3600, 3, 4 E 5 Andares, Itaim Bibi, SAO PAULO, SAO PAULO, 04.538-132 BR</v>
    <v>Containers &amp; Packaging</v>
    <v>KLBN4</v>
    <v>Ações</v>
    <v>KLABIN S.A. (BVMF:KLBN4)</v>
    <v>-0.03</v>
    <v>-8.0429999999999998E-3</v>
    <v>734200</v>
  </rv>
  <rv s="2">
    <v>452</v>
  </rv>
  <rv s="0">
    <v>https://www.bing.com/financeapi/forcetrigger?t=apm37w&amp;q=BVMF%3aBPAC5&amp;form=skydnc</v>
    <v>Learn more on Bing</v>
  </rv>
  <rv s="8">
    <v>pt-BR</v>
    <v>apm37w</v>
    <v>268435456</v>
    <v>1</v>
    <v>Da plataforma Refinitiv</v>
    <v>14</v>
    <v>15</v>
    <v>Banco BTG Pactual S.A. (BVMF:BPAC5)</v>
    <v>12</v>
    <v>16</v>
    <v>Finance</v>
    <v>5</v>
    <v>9.68</v>
    <v>6.72</v>
    <v>BVMF</v>
    <v>10108690000</v>
    <v>9.0399999999999991</v>
    <v>1979</v>
    <v>8.83</v>
    <v>1.3775999999999999</v>
    <v>B3 - Brazil Stock Exchange</v>
    <v>189468600000</v>
    <v>O Banco BTG Pactual SA é um banco com sede no Brasil que atua principalmente nas atividades de banco de investimento e gestão de investimentos. Juntamente com suas subsidiárias, o Banco oferece uma gama de serviços financeiros, incluindo banco de investimento, empréstimos corporativos, serviços de corretagem e compensação, gerenciamento de ativos, gerenciamento de patrimônio, serviços bancários comerciais e de consumo, banco comercial e investimentos imobiliários. Por meio da plataforma BTG Pactual digital, o Banco facilita investimentos de varejo on-line. Também fornece serviços de seguro e resseguro de bens e acidentes. O banco possui várias subsidiárias no Brasil e no exterior, com presença em muitos países da América Latina, Estados Unidos, Reino Unido, Luxemburgo e Hong Kong.</v>
    <v>BVMF</v>
    <v>9.0399999999999991</v>
    <v>4900</v>
    <v>45850</v>
    <v>454</v>
    <v>8884360</v>
    <v>BRL</v>
    <v>Banco BTG Pactual S.A.</v>
    <v>Banco BTG Pactual S.A.</v>
    <v>9.0399999999999991</v>
    <v>8.99</v>
    <v>Praia de Botafogo, 501, 5 e 6 andares, Botafogo, RIO DE JANEIRO, RIO DE JANEIRO, 22.250-040 BR</v>
    <v>Investment Banking &amp; Investment Services</v>
    <v>BPAC5</v>
    <v>Ações</v>
    <v>Banco BTG Pactual S.A. (BVMF:BPAC5)</v>
    <v>-0.05</v>
    <v>-5.5310000000000003E-3</v>
    <v>4400</v>
  </rv>
  <rv s="2">
    <v>455</v>
  </rv>
  <rv s="0">
    <v>https://www.bing.com/financeapi/forcetrigger?t=apmeyc&amp;q=BVMF%3aDIRR3&amp;form=skydnc</v>
    <v>Learn more on Bing</v>
  </rv>
  <rv s="8">
    <v>pt-BR</v>
    <v>apmeyc</v>
    <v>268435456</v>
    <v>1</v>
    <v>Da plataforma Refinitiv</v>
    <v>14</v>
    <v>15</v>
    <v>DIRECIONAL ENGENHARIA S.A. (BVMF:DIRR3)</v>
    <v>12</v>
    <v>17</v>
    <v>Finance</v>
    <v>5</v>
    <v>41.5</v>
    <v>22.75</v>
    <v>BVMF</v>
    <v>173500000</v>
    <v>40.51</v>
    <v>1981</v>
    <v>39.130000000000003</v>
    <v>1.0448999999999999</v>
    <v>B3 - Brazil Stock Exchange</v>
    <v>6868865000</v>
    <v>A DIRECIONAL ENGENHARIA S.A. é uma empresa do setor imobiliário residencial estabelecida no Brasil. A empresa se concentra no desenvolvimento e na construção de projetos habitacionais residenciais, com foco no segmento de baixa renda. Constrói principalmente casas multifamiliares, que formam um bairro residencial. A empresa desenvolve suas atividades por meio de parcerias especiais (SCPs) e entidades com finalidade especial (SPEs), que atuam exclusivamente no setor imobiliário. Opera nos seguintes estados do Brasil, dentre outros: Rio de Janeiro, São Paulo, Rio Grande do Sul, Minas Gerais, Pará e Amazonas. A empresa detém inúmeras subsidiárias, como a Direcional Taguatinga Engenharia Ltda., Ametista Empreendimentos Imobiliários Ltda. e Malaquita Empreendimentos Imobiliários Ltda.</v>
    <v>BVMF</v>
    <v>40.020000000000003</v>
    <v>745</v>
    <v>45849.838592846878</v>
    <v>457</v>
    <v>1522160</v>
    <v>BRL</v>
    <v>DIRECIONAL ENGENHARIA S.A.</v>
    <v>DIRECIONAL ENGENHARIA S.A.</v>
    <v>40.11</v>
    <v>39.590000000000003</v>
    <v>Rua dos Otoni, 177, Santa Efigenia, BELO HORIZONTE, MINAS GERAIS, 30.150-270 BR</v>
    <v>Real Estate Operations</v>
    <v>DIRR3</v>
    <v>Ações</v>
    <v>DIRECIONAL ENGENHARIA S.A. (BVMF:DIRR3)</v>
    <v>-0.43</v>
    <v>-1.0744999999999999E-2</v>
    <v>1578400</v>
  </rv>
  <rv s="2">
    <v>458</v>
  </rv>
  <rv s="0">
    <v>https://www.bing.com/financeapi/forcetrigger?t=apn177&amp;q=BVMF%3aMYPK3&amp;form=skydnc</v>
    <v>Learn more on Bing</v>
  </rv>
  <rv s="8">
    <v>pt-BR</v>
    <v>apn177</v>
    <v>268435456</v>
    <v>1</v>
    <v>Da plataforma Refinitiv</v>
    <v>14</v>
    <v>15</v>
    <v>IOCHPE-MAXION S.A. (BVMF:MYPK3)</v>
    <v>12</v>
    <v>16</v>
    <v>Finance</v>
    <v>5</v>
    <v>13.84</v>
    <v>9.7200000000000006</v>
    <v>BVMF</v>
    <v>153719600</v>
    <v>13.56</v>
    <v>1940</v>
    <v>12.98</v>
    <v>0.4375</v>
    <v>B3 - Brazil Stock Exchange</v>
    <v>2075215000</v>
    <v>A Iochpe-Maxion S.A. está envolvida na produção de rodas automotivas. A Empresa é produtora de componentes estruturais automotivos nas Américas e produtora de equipamentos ferroviários no Brasil. Suas operações estão focadas no segmento automotivo, divididas em segmentos de rodas e componentes estruturais. A Empresa opera por meio de três divisões: Maxion Wheels, Componentes Estruturais Maxion e AmstedMaxion. Na Maxion Wheels, a Empresa produz e vende uma gama de rodas de aço para veículos leves e comerciais, e máquinas agrícolas e rodas de alumínio para veículos leves. No segmento de Componentes Estruturais Maxion, ela produz trilhos laterais, cruzamentos e chassis completos para veículos comerciais e componentes estruturais para veículos leves. No segmento de AmstedMaxion (uma joint venture), a Empresa produz veículos de carga, rodas ferroviárias e fundições, bem como fundições industriais. As operações da Empresa e de suas subsidiárias são realizadas em mais de 30 unidades localizadas no Brasil e no exterior.</v>
    <v>BVMF</v>
    <v>13.15</v>
    <v>17000</v>
    <v>45850</v>
    <v>460</v>
    <v>709100</v>
    <v>BRL</v>
    <v>IOCHPE-MAXION S.A.</v>
    <v>IOCHPE-MAXION S.A.</v>
    <v>13.23</v>
    <v>13.5</v>
    <v>Rua Othon Barcellos, n 83, Itagacaba, CRUZEIRO, SAO PAULO, 12.730-900 BR</v>
    <v>Automobiles &amp; Auto Parts</v>
    <v>MYPK3</v>
    <v>Ações</v>
    <v>IOCHPE-MAXION S.A. (BVMF:MYPK3)</v>
    <v>0.35</v>
    <v>2.6616000000000001E-2</v>
    <v>1070100</v>
  </rv>
  <rv s="2">
    <v>461</v>
  </rv>
  <rv s="0">
    <v>https://www.bing.com/financeapi/forcetrigger?t=bwukvh&amp;q=BVMF%3aRDOR3&amp;form=skydnc</v>
    <v>Learn more on Bing</v>
  </rv>
  <rv s="8">
    <v>pt-BR</v>
    <v>bwukvh</v>
    <v>268435456</v>
    <v>1</v>
    <v>Da plataforma Refinitiv</v>
    <v>14</v>
    <v>15</v>
    <v>Rede D'Or São Luiz S.A. (BVMF:RDOR3)</v>
    <v>12</v>
    <v>17</v>
    <v>Finance</v>
    <v>5</v>
    <v>38.049999999999997</v>
    <v>24.47</v>
    <v>BVMF</v>
    <v>2289292000</v>
    <v>33.729999999999997</v>
    <v>2003</v>
    <v>32.93</v>
    <v>1.5219</v>
    <v>B3 - Brazil Stock Exchange</v>
    <v>76233423600</v>
    <v>A Rede D'Or São Luiz SA é uma empresa sediada no Brasil que atua na operação de hospitais. A Empresa atende diversas áreas, como oncologia, cirurgia, ginecologia, cardiologia, dietética, neurologia, dermatologia e também pediatria. Além disso, a Companhia oferece serviços de diagnóstico, pesquisa científica e parcerias em educação, além de programas de aprendizagem para profissionais, incluindo médicos, enfermeiras e psicólogos. Seus hospitais estão localizados nos estados do Rio de Janeiro, São Paulo, Pernambuco, Bahia, Sergipe, Maranhão, Paraná, Ceará e Distrito Federal, entre outros. Além disso, a Companhia opera uma rede de clínicas oncológicas e laboratórios de análises e imagens.</v>
    <v>BVMF</v>
    <v>33.81</v>
    <v>71000</v>
    <v>45849.838623935153</v>
    <v>463</v>
    <v>5305770</v>
    <v>BRL</v>
    <v>Rede D'Or São Luiz S.A.</v>
    <v>Rede D'Or São Luiz S.A.</v>
    <v>33.53</v>
    <v>33.299999999999997</v>
    <v>Rua Francisco Marengo, n 1.312, Tatuape, SAO PAULO, SAO PAULO, 03.313-000 BR</v>
    <v>Healthcare Providers &amp; Services</v>
    <v>RDOR3</v>
    <v>Ações</v>
    <v>Rede D'Or São Luiz S.A. (BVMF:RDOR3)</v>
    <v>-0.51</v>
    <v>-1.5084E-2</v>
    <v>6454500</v>
  </rv>
  <rv s="2">
    <v>464</v>
  </rv>
  <rv s="0">
    <v>https://www.bing.com/financeapi/forcetrigger?t=apnkdm&amp;q=BVMF%3aVIVT3&amp;form=skydnc</v>
    <v>Learn more on Bing</v>
  </rv>
  <rv s="8">
    <v>pt-BR</v>
    <v>apnkdm</v>
    <v>268435456</v>
    <v>1</v>
    <v>Da plataforma Refinitiv</v>
    <v>14</v>
    <v>15</v>
    <v>TELEFÔNICA BRASIL S.A (BVMF:VIVT3)</v>
    <v>12</v>
    <v>17</v>
    <v>Finance</v>
    <v>5</v>
    <v>32.770000000000003</v>
    <v>21.84</v>
    <v>BVMF</v>
    <v>3261287000</v>
    <v>32.44</v>
    <v>1998</v>
    <v>31.96</v>
    <v>0.5635</v>
    <v>B3 - Brazil Stock Exchange</v>
    <v>104687300000</v>
    <v>A Telefonica Brasil SA, anteriormente Telecomunicacoes de São Paulo SA Telesp é uma empresa brasileira que atua no setor de telecomunicações. Os principais serviços da Companhia incluem telefonia fixa, local e de longa distância; telefonia móvel, incluindo serviços de valor agregado; serviços de dados, incluindo banda larga fixa e móvel, e televisão por assinatura (TV), principalmente Internet Protocol Television (IPTV). A Telefonica Brasil SA comercializa seus serviços e soluções através da marca Vivo. A empresa é um hub digital que facilita o acesso de seus clientes a uma variedade de serviços, como entretenimento, segurança cibernética, finanças, saúde, segurança e segurança. e educação, além de fornecer serviços de telecomunicações fixos e móveis em todo o Brasil. Também oferece um portfólio completo e convergente para clientes business-to-consumer (B2C) e business-to-business (B2B).</v>
    <v>BVMF</v>
    <v>32</v>
    <v>33000</v>
    <v>45849.838878818751</v>
    <v>466</v>
    <v>8175440</v>
    <v>BRL</v>
    <v>TELEFÔNICA BRASIL S.A</v>
    <v>TELEFÔNICA BRASIL S.A</v>
    <v>32.15</v>
    <v>32.1</v>
    <v>Av Engenheiro Luis Carlos Berrini, 1376 32 andar, Cidade Moncoes, SAO PAULO, SAO PAULO, 04.571-936 BR</v>
    <v>Telecommunications Services</v>
    <v>VIVT3</v>
    <v>Ações</v>
    <v>TELEFÔNICA BRASIL S.A (BVMF:VIVT3)</v>
    <v>0.1</v>
    <v>3.1250000000000002E-3</v>
    <v>7253000</v>
  </rv>
  <rv s="2">
    <v>467</v>
  </rv>
  <rv s="0">
    <v>https://www.bing.com/financeapi/forcetrigger?t=bvgm3m&amp;q=BVMF%3aPGMN3&amp;form=skydnc</v>
    <v>Learn more on Bing</v>
  </rv>
  <rv s="8">
    <v>pt-BR</v>
    <v>bvgm3m</v>
    <v>268435456</v>
    <v>1</v>
    <v>Da plataforma Refinitiv</v>
    <v>14</v>
    <v>15</v>
    <v>Empreendimentos Pague Menos S.A. (BVMF:PGMN3)</v>
    <v>12</v>
    <v>17</v>
    <v>Finance</v>
    <v>5</v>
    <v>3.64</v>
    <v>2.2200000000000002</v>
    <v>BVMF</v>
    <v>622672700</v>
    <v>3.37</v>
    <v>1981</v>
    <v>3.3</v>
    <v>1.3244</v>
    <v>B3 - Brazil Stock Exchange</v>
    <v>2079727000</v>
    <v>A Empreendimentos Pague Menos SA é uma empresa brasileira que atua principalmente no setor de varejo de medicamentos. Por meio de uma rede de drogarias, a Companhia comercializa remédios, perfumes, produtos de higiene pessoal e domésticos, cosméticos, mercearia, entre outros. Além disso, oferece uma gama de serviços financeiros, como cobrança de contas e emissão de cartões de crédito. A empresa também opera um call center que fornece informações relacionadas ao uso de drogas.</v>
    <v>BVMF</v>
    <v>3.38</v>
    <v>25799</v>
    <v>45849.837500370311</v>
    <v>469</v>
    <v>985600</v>
    <v>BRL</v>
    <v>Empreendimentos Pague Menos S.A.</v>
    <v>Empreendimentos Pague Menos S.A.</v>
    <v>3.37</v>
    <v>3.34</v>
    <v>Rua Senador Pompeu, n 1520, Centro, FORTALEZA, CEARA, 60.025-002 BR</v>
    <v>Food &amp; Drug Retailing</v>
    <v>PGMN3</v>
    <v>Ações</v>
    <v>Empreendimentos Pague Menos S.A. (BVMF:PGMN3)</v>
    <v>-0.04</v>
    <v>-1.1834000000000001E-2</v>
    <v>676500</v>
  </rv>
  <rv s="2">
    <v>470</v>
  </rv>
  <rv s="0">
    <v>https://www.bing.com/financeapi/forcetrigger?t=bwfbr7&amp;q=BVMF%3aTFCO4&amp;form=skydnc</v>
    <v>Learn more on Bing</v>
  </rv>
  <rv s="8">
    <v>pt-BR</v>
    <v>bwfbr7</v>
    <v>268435456</v>
    <v>1</v>
    <v>Da plataforma Refinitiv</v>
    <v>14</v>
    <v>15</v>
    <v>Track &amp; Field Co S.A (BVMF:TFCO4)</v>
    <v>12</v>
    <v>17</v>
    <v>Finance</v>
    <v>5</v>
    <v>15.5</v>
    <v>8.24</v>
    <v>BVMF</v>
    <v>65492860</v>
    <v>14.72</v>
    <v>1988</v>
    <v>14.36</v>
    <v>1.0923</v>
    <v>B3 - Brazil Stock Exchange</v>
    <v>944407041</v>
    <v>Track &amp; Field SA Co, anteriormente Fratex Industria e Comercio Ltda é uma empresa brasileira com atividades no setor de vestuário. A Companhia atua em um segmento de negócios, que está subdividido em: Varejo, Bens para Franquias, Royalties e Eventos. O portfólio da Track &amp; Field inclui coleções com vestuário atlético, estilo de vida, roupa de praia, calçado e acessórios. Os produtos da Track&amp;Field são vendidos exclusivamente em lojas físicas (mais de 350 lojas) e através de plataformas de e-commerce. A oferta da Companhia também inclui a plataforma TFSports, que oferece aulas gratuitas e corridas online. Track &amp; Field SA Co participa ativamente em todo o processo de produção através do desenvolvimento de peças, pilotagem, compra de materiais, auditoria, controle de qualidade, e visitas técnicas.</v>
    <v>BVMF</v>
    <v>14.64</v>
    <v>1145</v>
    <v>45849.838605578123</v>
    <v>472</v>
    <v>367640</v>
    <v>BRL</v>
    <v>Track &amp; Field Co S.A</v>
    <v>Track &amp; Field Co S.A</v>
    <v>14.68</v>
    <v>14.42</v>
    <v>Rua Cipriano Barata 456 3 andar, Ipiranga, OSASCO, SAO PAULO, 04.205-000 BR</v>
    <v>Specialty Retailers</v>
    <v>TFCO4</v>
    <v>Ações</v>
    <v>Track &amp; Field Co S.A (BVMF:TFCO4)</v>
    <v>-0.22</v>
    <v>-1.5026999999999999E-2</v>
    <v>230700</v>
  </rv>
  <rv s="2">
    <v>473</v>
  </rv>
  <rv s="0">
    <v>https://www.bing.com/financeapi/forcetrigger?t=apmhtc&amp;q=BVMF%3aENEV3&amp;form=skydnc</v>
    <v>Learn more on Bing</v>
  </rv>
  <rv s="8">
    <v>pt-BR</v>
    <v>apmhtc</v>
    <v>268435456</v>
    <v>1</v>
    <v>Da plataforma Refinitiv</v>
    <v>14</v>
    <v>15</v>
    <v>Eneva S.A. (BVMF:ENEV3)</v>
    <v>12</v>
    <v>16</v>
    <v>Finance</v>
    <v>5</v>
    <v>14.9</v>
    <v>9.35</v>
    <v>BVMF</v>
    <v>1932592000</v>
    <v>13.38</v>
    <v>2001</v>
    <v>13.06</v>
    <v>0.86709999999999998</v>
    <v>B3 - Brazil Stock Exchange</v>
    <v>25664821760</v>
    <v>A ENEVA SA, anteriormente conhecida como MPX Energia SA, é uma empresa sediada no Brasil que atua principalmente no setor de energia. As atividades da Companhia estão divididas em quatro segmentos operacionais: Usinas térmicas a gás, envolvidas na operação de Usinas térmicas a gás no Complexo Parnaíba, localizado no Estado do Maranhão; Upstream, dedicada à exploração, desenvolvimento, produção e comercialização de petróleo e gás natural e seus derivados; Centrais térmicas a carvão, envolvidas na operação de Usinas térmicas a carvão localizadas nos estados do Maranhão e Ceará; e comercialização de Energia, focada na venda de energia gerada pelas Usinas de energia da empresa. A Companhia atua pelo número de subsidiárias, incluindo a Eneva Comercializadora de Energia Ltda, Centrais Termeletricas São Marcos SA e Parnaiba BV, entre outras.</v>
    <v>BVMF</v>
    <v>13.27</v>
    <v>1846</v>
    <v>45850</v>
    <v>475</v>
    <v>5484140</v>
    <v>BRL</v>
    <v>Eneva S.A.</v>
    <v>Eneva S.A.</v>
    <v>13.2</v>
    <v>13.28</v>
    <v>Praia de Botafogo n 501, Bloco I, 2 e 4 andares, Botafogo, BOTAFOGO, RIO DE JANEIRO, 22.250-040 BR</v>
    <v>Electrical Utilities &amp; IPPs</v>
    <v>ENEV3</v>
    <v>Ações</v>
    <v>Eneva S.A. (BVMF:ENEV3)</v>
    <v>0.01</v>
    <v>7.5359999999999999E-4</v>
    <v>5637600</v>
  </rv>
  <rv s="2">
    <v>476</v>
  </rv>
  <rv s="0">
    <v>https://www.bing.com/financeapi/forcetrigger?t=apmv52&amp;q=BVMF%3aLIGT3&amp;form=skydnc</v>
    <v>Learn more on Bing</v>
  </rv>
  <rv s="8">
    <v>pt-BR</v>
    <v>apmv52</v>
    <v>268435456</v>
    <v>1</v>
    <v>Da plataforma Refinitiv</v>
    <v>14</v>
    <v>15</v>
    <v>LIGHT S.A. (BVMF:LIGT3)</v>
    <v>12</v>
    <v>16</v>
    <v>Finance</v>
    <v>5</v>
    <v>9.2100000000000009</v>
    <v>3.6</v>
    <v>BVMF</v>
    <v>372555300</v>
    <v>5.73</v>
    <v>1999</v>
    <v>5.5</v>
    <v>2.2254999999999998</v>
    <v>B3 - Brazil Stock Exchange</v>
    <v>2097486339</v>
    <v>A Light SA, anteriormente denominada Trial Participações SA, é uma holding com sede no Brasil envolvida principalmente no setor de serviços públicos. As atividades da Empresa estão divididas em três segmentos de negócio: Distribuição, Geração e Comercialização. A divisão de Distribuição tem como foco a distribuição de energia elétrica aos consumidores finais. A divisão Geração produz eletricidade por meio de usinas hidrelétricas. Além disso, a Companhia oferece soluções em energia, como desenvolvimento de projetos de energia, e assessoria aos consumidores livres e cativos. A Companhia distribui energia no estado do Rio de Janeiro, Brasil. Atua por meio de diversas subsidiárias, incluindo Light Serviços de Eletricidade SA (Light SESA), Light Energia SA (Light Energia), Light Esco Prestação de Serviços SA (Light Esco) e Lightcom Comercializadora de Energia SA (Lightcom), entre outras.</v>
    <v>BVMF</v>
    <v>5.62</v>
    <v>5140</v>
    <v>45850</v>
    <v>478</v>
    <v>1660060</v>
    <v>BRL</v>
    <v>LIGHT S.A.</v>
    <v>LIGHT S.A.</v>
    <v>5.65</v>
    <v>5.63</v>
    <v>Av.Marechal Floriano,168, Centro, RIO DE JANEIRO, RIO DE JANEIRO, 20.080-002 BR</v>
    <v>Electrical Utilities &amp; IPPs</v>
    <v>LIGT3</v>
    <v>Ações</v>
    <v>LIGHT S.A. (BVMF:LIGT3)</v>
    <v>0.01</v>
    <v>1.779E-3</v>
    <v>621900</v>
  </rv>
  <rv s="2">
    <v>479</v>
  </rv>
  <rv s="0">
    <v>https://www.bing.com/financeapi/forcetrigger?t=bxgv1h&amp;q=BVMF%3aCSED3&amp;form=skydnc</v>
    <v>Learn more on Bing</v>
  </rv>
  <rv s="8">
    <v>pt-BR</v>
    <v>bxgv1h</v>
    <v>268435456</v>
    <v>1</v>
    <v>Da plataforma Refinitiv</v>
    <v>14</v>
    <v>15</v>
    <v>CRUZEIRO DO SUL EDUCACIONAL S.A. (BVMF:CSED3)</v>
    <v>12</v>
    <v>17</v>
    <v>Finance</v>
    <v>5</v>
    <v>5.44</v>
    <v>2.56</v>
    <v>BVMF</v>
    <v>364542500</v>
    <v>4.95</v>
    <v>1970</v>
    <v>4.8</v>
    <v>2.3513999999999999</v>
    <v>B3 - Brazil Stock Exchange</v>
    <v>1749804000</v>
    <v>A Cruzeiro do Sul Educacional SA, anteriormente Instituicao Educacional São Miguel Paulista Ltda é uma empresa brasileira de educação. As atividades da Companhia são realizadas através de um segmento operacional: Prestação de serviços educacionais. O Cruzeiro do Sul Educacional está organizado em três unidades de negócios: Educação presencial Vertical, Digital Education Vertical e Health Education Vertical. A Empresa oferece formação acadêmica e profissional através de 14 instituições de ensino superior com marcas locais reconhecidas, por meio de cursos de graduação, pós-graduação e extensão nas modalidades on-site e ensino a distância. O Cruzeiro do Sul Educacional também atua com quatro instituições de ensino fundamental e infantil (primeira infância, ensino fundamental e médio).</v>
    <v>BVMF</v>
    <v>4.96</v>
    <v>7668</v>
    <v>45849.837500046095</v>
    <v>481</v>
    <v>475920</v>
    <v>BRL</v>
    <v>CRUZEIRO DO SUL EDUCACIONAL S.A.</v>
    <v>CRUZEIRO DO SUL EDUCACIONAL S.A.</v>
    <v>4.93</v>
    <v>4.8</v>
    <v>Rua Cubatao, 320 3, 8 e 9 Andar, Vila Mariana, SAO PAULO, SAO PAULO, 04.013-001 BR</v>
    <v>School, College &amp; University</v>
    <v>CSED3</v>
    <v>Ações</v>
    <v>CRUZEIRO DO SUL EDUCACIONAL S.A. (BVMF:CSED3)</v>
    <v>-0.16</v>
    <v>-3.2258000000000002E-2</v>
    <v>302200</v>
  </rv>
  <rv s="2">
    <v>482</v>
  </rv>
  <rv s="0">
    <v>https://www.bing.com/financeapi/forcetrigger?t=apmzxm&amp;q=BVMF%3aMULT3&amp;form=skydnc</v>
    <v>Learn more on Bing</v>
  </rv>
  <rv s="8">
    <v>pt-BR</v>
    <v>apmzxm</v>
    <v>268435456</v>
    <v>1</v>
    <v>Da plataforma Refinitiv</v>
    <v>14</v>
    <v>15</v>
    <v>Multiplan Empreendimentos Imobiliários S.A. (BVMF:MULT3)</v>
    <v>12</v>
    <v>16</v>
    <v>Finance</v>
    <v>5</v>
    <v>27.62</v>
    <v>19.559999999999999</v>
    <v>BVMF</v>
    <v>513163700</v>
    <v>26.31</v>
    <v>2005</v>
    <v>25.86</v>
    <v>1.0319</v>
    <v>B3 - Brazil Stock Exchange</v>
    <v>13290939830</v>
    <v>A Multiplan Empreendimentos Imobiliários S.A. é uma empresa estabelecida no Brasil, que atua no segmento imobiliário. As atividades da empresa são divididas em quatro segmentos de negócios: aluguéis, imóveis, projetos e gerenciamento. A divisão de aluguéis concentra-se no arrendamento de shoppings e seus estacionamentos. A divisão de imóveis inclui a venda de imóveis, como casas multifamiliares, construídas nas redondezas dos shopping centers. A divisão de projetos é especializada no planejamento, no desenvolvimento e na construção de centros comerciais para arrendamento. A divisão de gestão oferece principalmente serviços de gerenciamento para donos de lojas. A empresa detém e administra numerosos shoppings no Brasil, como o BH Shopping, BarraShopping, RibeiraoShopping, MorumbiShopping, ParkShopping, DiamondMall, Shopping Anália Franco, BarraShopping Sul, New York City Center e Shopping Santa Úrsula.</v>
    <v>BVMF</v>
    <v>26.25</v>
    <v>8500</v>
    <v>45850</v>
    <v>484</v>
    <v>2837740</v>
    <v>BRL</v>
    <v>Multiplan Empreendimentos Imobiliários S.A.</v>
    <v>Multiplan Empreendimentos Imobiliários S.A.</v>
    <v>26.09</v>
    <v>25.9</v>
    <v>Av Das Americas 04200 Bloco 2 Salas 101 A 104 112 A 116 401 A 416 E 501 E Bloco 9 Ala B Salas 212 A 216, Barra Da Tijuca, RIO DE JANEIRO, RIO DE JANEIRO, 22.640-102 BR</v>
    <v>Real Estate Operations</v>
    <v>MULT3</v>
    <v>Ações</v>
    <v>Multiplan Empreendimentos Imobiliários S.A. (BVMF:MULT3)</v>
    <v>-0.35</v>
    <v>-1.3332999999999999E-2</v>
    <v>2502800</v>
  </rv>
  <rv s="2">
    <v>485</v>
  </rv>
  <rv s="0">
    <v>https://www.bing.com/financeapi/forcetrigger?t=c5nr77&amp;q=BVMF%3aAURE3&amp;form=skydnc</v>
    <v>Learn more on Bing</v>
  </rv>
  <rv s="9">
    <v>pt-BR</v>
    <v>c5nr77</v>
    <v>268435456</v>
    <v>1</v>
    <v>Da plataforma Refinitiv</v>
    <v>18</v>
    <v>19</v>
    <v>Auren Energia S.A. (BVMF:AURE3)</v>
    <v>12</v>
    <v>27</v>
    <v>Finance</v>
    <v>5</v>
    <v>12.5</v>
    <v>7.29</v>
    <v>BVMF</v>
    <v>1050378000</v>
    <v>9.4</v>
    <v>2017</v>
    <v>9.0399999999999991</v>
    <v>0.58079999999999998</v>
    <v>B3 - Brazil Stock Exchange</v>
    <v>9568943000</v>
    <v>A Auren Energia SA, anteriormente conhecida como VTRM Energia Participações SA, é uma holding de energia com sede no Brasil focada em investir e desenvolver a geração de energia limpa no Brasil. O objetivo da Empresa e suas subsidiárias é o planejamento, construção, instalação, operação e manutenção de sistemas de geração eólica e hidrelétrica, bem como a comercialização de energia produzida por esses sistemas. As operações da Auren Energia estão divididas em três segmentos de negócio, o segmento de Geração de Energia Eólica, o segmento de Geração e Comercialização de Energia Hidrelétrica, bem como o segmento holding. A Companhia possui diversas subsidiárias, incluindo a CESP Companhia Energetica de São Paulo, Ventos de São Vicente Participações Energias Renováveis SA, e a Jaiba V Holding SA.</v>
    <v>BVMF</v>
    <v>9.34</v>
    <v>45849.838618506248</v>
    <v>487</v>
    <v>3459690</v>
    <v>BRL</v>
    <v>Auren Energia S.A.</v>
    <v>Auren Energia S.A.</v>
    <v>9.2899999999999991</v>
    <v>9.11</v>
    <v>Av. dra Ruth Cardoso, 8.501 2 andar, sala 11, Pinheiros, SAO PAULO, SAO PAULO, 05.425-070 BR</v>
    <v>Electrical Utilities &amp; IPPs</v>
    <v>AURE3</v>
    <v>Ações</v>
    <v>Auren Energia S.A. (BVMF:AURE3)</v>
    <v>-0.23</v>
    <v>-2.4624999999999998E-2</v>
    <v>5602300</v>
  </rv>
  <rv s="2">
    <v>488</v>
  </rv>
  <rv s="0">
    <v>https://www.bing.com/financeapi/forcetrigger?t=apni6h&amp;q=BVMF%3aTUPY3&amp;form=skydnc</v>
    <v>Learn more on Bing</v>
  </rv>
  <rv s="8">
    <v>pt-BR</v>
    <v>apni6h</v>
    <v>268435456</v>
    <v>1</v>
    <v>Da plataforma Refinitiv</v>
    <v>14</v>
    <v>15</v>
    <v>TUPY S.A. (BVMF:TUPY3)</v>
    <v>12</v>
    <v>16</v>
    <v>Finance</v>
    <v>5</v>
    <v>26.74</v>
    <v>16.989999999999998</v>
    <v>BVMF</v>
    <v>144177500</v>
    <v>18.68</v>
    <v>1938</v>
    <v>17.649999999999999</v>
    <v>0.5484</v>
    <v>B3 - Brazil Stock Exchange</v>
    <v>2551941750</v>
    <v>A TUPY S.A. é uma empresa brasileira que se dedica principalmente à produção e comercialização de peças para a indústria automotiva. As atividades da Empresa estão divididas em dois segmentos de negócio: Automotivo e Hidráulico. A divisão Automotivo se concentra na fabricação de motores e seus componentes, sistemas de freio, rolamentos, bem como componentes de transmissão, direção, eixo e suspensão, entre outros. A divisão de Hidráulicos é responsável pela produção de conexões flexíveis de ferro para a indústria de construção, britas de ferro e aço para a indústria de processamento de mármore e granito, bem como moldes de ferro fundido para uso geral. A Empresa possui fábricas e escritórios de vendas em diversos países, como Brasil, México, Estados Unidos e Alemanha. A Empresa atua por meio da Tupy Agroenergética Ltda., Sociedade Técnica de Fundos Gerais SA, Tupy American Foundry Co, Tupy American Iron &amp; Alloys Co e Tupy Europe GmbH, entre outros.</v>
    <v>BVMF</v>
    <v>18.420000000000002</v>
    <v>6451</v>
    <v>45850</v>
    <v>490</v>
    <v>379550</v>
    <v>BRL</v>
    <v>TUPY S.A.</v>
    <v>TUPY S.A.</v>
    <v>18.22</v>
    <v>17.7</v>
    <v>Rua Albano Schmidt, 3400, Boa Vista, JOINVILLE, SANTA CATARINA, 89.227-901 BR</v>
    <v>Automobiles &amp; Auto Parts</v>
    <v>TUPY3</v>
    <v>Ações</v>
    <v>TUPY S.A. (BVMF:TUPY3)</v>
    <v>-0.72</v>
    <v>-3.9087999999999998E-2</v>
    <v>1107300</v>
  </rv>
  <rv s="2">
    <v>491</v>
  </rv>
  <rv s="0">
    <v>https://www.bing.com/financeapi/forcetrigger?t=apnbh7&amp;q=BVMF%3aSCAR3&amp;form=skydnc</v>
    <v>Learn more on Bing</v>
  </rv>
  <rv s="9">
    <v>pt-BR</v>
    <v>apnbh7</v>
    <v>268435456</v>
    <v>1</v>
    <v>Da plataforma Refinitiv</v>
    <v>18</v>
    <v>19</v>
    <v>São Carlos Empreendimentos e Participações S.A. (BVMF:SCAR3)</v>
    <v>12</v>
    <v>20</v>
    <v>Finance</v>
    <v>5</v>
    <v>22.75</v>
    <v>15.32</v>
    <v>BVMF</v>
    <v>57737320</v>
    <v>16.850000000000001</v>
    <v>1985</v>
    <v>16.61</v>
    <v>0.96850000000000003</v>
    <v>B3 - Brazil Stock Exchange</v>
    <v>959016800</v>
    <v>A São Carlos Empreendimentos e Participações S.A. é uma empresa brasileira que atua no setor imobiliário comercial. A empresa atua na gestão de imóveis próprios e de terceiros, arrendamento de imóveis e operação de estacionamentos. O portfólio de imóveis da empresa inclui edifícios de escritórios, centros de distribuição e lojas de rua, localizados nos estados de São Paulo, Rio de Janeiro, Minas Gerais e Rio Grande do Sul. Em 31 de dezembro de 2011, as subsidiárias da empresa incluíam a 253 Participações Ltda., SC Corretora de Imóveis Ltda., SC Varejo Grande SP Empreendimentos e Participações Ltda., Top Center Empreendimentos e Participações Ltda. e SC Sul Empreendimentos e Participações Ltda., entre outras. Em novembro de 2013, a empresa concluiu a venda da propriedade do Brazilian Financial Center para a Fundo de Investimento Imobiliário - FII Prime Portfólio, recebendo R$ 250 milhões de reais.</v>
    <v>BVMF</v>
    <v>16.87</v>
    <v>45850</v>
    <v>493</v>
    <v>32800</v>
    <v>BRL</v>
    <v>São Carlos Empreendimentos e Participações S.A.</v>
    <v>São Carlos Empreendimentos e Participações S.A.</v>
    <v>16.61</v>
    <v>16.61</v>
    <v>Rua Dr. Eduardo de Souza Aranha, 153, 12 andar, Vila Nova Conceicao, SAO PAULO, SAO PAULO, 04.543-904 BR</v>
    <v>Real Estate Operations</v>
    <v>SCAR3</v>
    <v>Ações</v>
    <v>São Carlos Empreendimentos e Participações S.A. (BVMF:SCAR3)</v>
    <v>-0.26</v>
    <v>-1.5411999999999999E-2</v>
    <v>9600</v>
  </rv>
  <rv s="2">
    <v>494</v>
  </rv>
  <rv s="0">
    <v>https://www.bing.com/financeapi/forcetrigger?t=btow3m&amp;q=BVMF%3aLWSA3&amp;form=skydnc</v>
    <v>Learn more on Bing</v>
  </rv>
  <rv s="8">
    <v>pt-BR</v>
    <v>btow3m</v>
    <v>268435456</v>
    <v>1</v>
    <v>Da plataforma Refinitiv</v>
    <v>14</v>
    <v>15</v>
    <v>LWSA S/A (BVMF:LWSA3)</v>
    <v>12</v>
    <v>16</v>
    <v>Finance</v>
    <v>5</v>
    <v>5.26</v>
    <v>2.4700000000000002</v>
    <v>BVMF</v>
    <v>565999200</v>
    <v>3.95</v>
    <v>1997</v>
    <v>3.75</v>
    <v>1.1631</v>
    <v>B3 - Brazil Stock Exchange</v>
    <v>2122497000</v>
    <v>A Lwsa SA, anteriormente Locaweb Servicos de Internet SA, é uma provedora brasileira de soluções de tecnologia Business-to-Business (B2B). As atividades da Companhia estão divididas em dois segmentos operacionais: Be Online/SaaS e Commerce. O segmento Be Online/SaaS oferece serviços de hospedagem, revenda de hospedagem, registro de domínios, computação em nuvem e servidores dedicados, bem como soluções relacionadas a contas de e-mail, campanhas de e-mail marketing e comunicação de Protocolo de Internet (IP), principalmente através das marcas Locaweb, KingHost e Octadesk. O segmento Commerce está empenhado em facilitar as operações de varejo online, fornecendo plataformas de e-commerce e soluções de pagamento, principalmente através das marcas Tray, Bagy, Melhor envio, Wake Commerce, Squid by Wake, e Bling CPlug.</v>
    <v>BVMF</v>
    <v>3.91</v>
    <v>1229</v>
    <v>45850</v>
    <v>496</v>
    <v>7074120</v>
    <v>BRL</v>
    <v>LWSA S/A</v>
    <v>LWSA S/A</v>
    <v>3.87</v>
    <v>3.75</v>
    <v>Rua Itapaiuna, 2.434, Vila Andrade, SAO PAULO, SAO PAULO, 05.707-001 BR</v>
    <v>Software &amp; IT Services</v>
    <v>LWSA3</v>
    <v>Ações</v>
    <v>LWSA S/A (BVMF:LWSA3)</v>
    <v>-0.16</v>
    <v>-4.0921000000000006E-2</v>
    <v>5763500</v>
  </rv>
  <rv s="2">
    <v>497</v>
  </rv>
  <rv s="0">
    <v>https://www.bing.com/financeapi/forcetrigger?t=apmvur&amp;q=BVMF%3aLPSB3&amp;form=skydnc</v>
    <v>Learn more on Bing</v>
  </rv>
  <rv s="8">
    <v>pt-BR</v>
    <v>apmvur</v>
    <v>268435456</v>
    <v>1</v>
    <v>Da plataforma Refinitiv</v>
    <v>14</v>
    <v>15</v>
    <v>LPS BRASIL - CONSULTORIA DE IMOVEIS S.A. (BVMF:LPSB3)</v>
    <v>12</v>
    <v>17</v>
    <v>Finance</v>
    <v>5</v>
    <v>2.2000000000000002</v>
    <v>1.04</v>
    <v>BVMF</v>
    <v>147554600</v>
    <v>1.56</v>
    <v>2006</v>
    <v>1.36</v>
    <v>1.3888</v>
    <v>B3 - Brazil Stock Exchange</v>
    <v>203625400</v>
    <v>A LPS Brasil Consultoria de Imoveis SA é uma provedora brasileira de serviços de corretagem no mercado primário (lançamentos) e secundário (revenda de imóveis anteriormente possuídos). A Companhia possui três segmentos operacionais: Corretagem de imóveis novos e usados; franquias e promoção de financiamento (CrediPronto). Para os promotores imobiliários, a Empresa oferece serviços de intermediação imobiliária com maior foco em empreendimentos residenciais, incluindo auxiliar na identificação de terrenos e novas oportunidades de desenvolvimento, no planejamento e criação de projetos imobiliários e na definição de estratégias de marketing para esses empreendimentos. Para os consumidores finais, a LPS Brasil Consultoria de Imoveis SA presta serviços de intermediação imobiliária em lançamentos, que consistem em assessoria financeira e contratual para aquisição de imóveis.</v>
    <v>BVMF</v>
    <v>1.56</v>
    <v>336</v>
    <v>45849.837500173438</v>
    <v>499</v>
    <v>79210</v>
    <v>BRL</v>
    <v>LPS BRASIL - CONSULTORIA DE IMOVEIS S.A.</v>
    <v>LPS BRASIL - CONSULTORIA DE IMOVEIS S.A.</v>
    <v>1.51</v>
    <v>1.38</v>
    <v>Rua Estados Unidos,2000, Jardim America, SAO PAULO, SAO PAULO, 01.427-002 BR</v>
    <v>Real Estate Operations</v>
    <v>LPSB3</v>
    <v>Ações</v>
    <v>LPS BRASIL - CONSULTORIA DE IMOVEIS S.A. (BVMF:LPSB3)</v>
    <v>-0.18</v>
    <v>-0.11538500000000002</v>
    <v>874600</v>
  </rv>
  <rv s="2">
    <v>500</v>
  </rv>
  <rv s="0">
    <v>https://www.bing.com/financeapi/forcetrigger?t=btotsm&amp;q=BVMF%3aMTRE3&amp;form=skydnc</v>
    <v>Learn more on Bing</v>
  </rv>
  <rv s="8">
    <v>pt-BR</v>
    <v>btotsm</v>
    <v>268435456</v>
    <v>1</v>
    <v>Da plataforma Refinitiv</v>
    <v>14</v>
    <v>15</v>
    <v>MITRE REALTY EMPREENDIMENTOS E PARTICIPAÇÕES S.A. (BVMF:MTRE3)</v>
    <v>12</v>
    <v>17</v>
    <v>Finance</v>
    <v>5</v>
    <v>4.32</v>
    <v>2.61</v>
    <v>BVMF</v>
    <v>105774800</v>
    <v>4.01</v>
    <v>2005</v>
    <v>3.95</v>
    <v>2.0829</v>
    <v>B3 - Brazil Stock Exchange</v>
    <v>424156948</v>
    <v>A Mitre Realty Empreendimentos e Participações SA (Mitre Realty) é uma construtora com sede no Brasil. A Sociedade tem por objeto a incorporação, construção e comercialização de unidades imobiliárias residenciais na Cidade de São Paulo. Seus produtos são divididos em duas linhas: Raizes, voltada para clientes de classe média e Haus Mitre, voltada para clientes de classe média alta. O portfólio da empresa é composto por mais de 20 edifícios que oferecem apartamentos com serviços exclusivos, pontos de acesso e áreas comuns. A Mitre Realty possui várias subsidiárias, como Amaro Bezerra Empreendimentos e Participações Ltda, Mitre Le Champs Empreendimentos e Participações Ltda, Mitre Vendas Corretagem de Imóveis Ltda e MJF Construções Ltda, entre outras.</v>
    <v>BVMF</v>
    <v>4</v>
    <v>159</v>
    <v>45849.838194837503</v>
    <v>502</v>
    <v>422760</v>
    <v>BRL</v>
    <v>MITRE REALTY EMPREENDIMENTOS E PARTICIPAÇÕES S.A.</v>
    <v>MITRE REALTY EMPREENDIMENTOS E PARTICIPAÇÕES S.A.</v>
    <v>4</v>
    <v>4.01</v>
    <v>Alameda Santos, 700, 5 Andar, Jardim Paulista, SAO PAULO, SAO PAULO, 01.418-002 BR</v>
    <v>Homebuilding &amp; Construction Supplies</v>
    <v>MTRE3</v>
    <v>Ações</v>
    <v>MITRE REALTY EMPREENDIMENTOS E PARTICIPAÇÕES S.A. (BVMF:MTRE3)</v>
    <v>0.01</v>
    <v>2.5000000000000001E-3</v>
    <v>254000</v>
  </rv>
  <rv s="2">
    <v>503</v>
  </rv>
  <rv s="0">
    <v>http://zh.wikipedia.org/wiki/巴西航空工业公司</v>
    <v>Wikipedia</v>
  </rv>
  <rv s="10">
    <v>36</v>
    <v>505</v>
  </rv>
  <rv s="11">
    <v>26</v>
    <v>https://www.bing.com/th?id=AMMS_93adec0d103d6c960720b15dfec63061&amp;qlt=95</v>
    <v>506</v>
    <v>0</v>
    <v>https://www.bing.com/images/search?form=xlimg&amp;q=embraer</v>
    <v>Image of EMBRAER S.A.</v>
  </rv>
  <rv s="0">
    <v>https://www.bing.com/financeapi/forcetrigger?t=apmhnm&amp;q=BVMF%3aEMBR3&amp;form=skydnc</v>
    <v>Learn more on Bing</v>
  </rv>
  <rv s="12">
    <v>pt-BR</v>
    <v>apmhnm</v>
    <v>268435456</v>
    <v>1</v>
    <v>Da plataforma Refinitiv</v>
    <v>21</v>
    <v>22</v>
    <v>EMBRAER S.A. (BVMF:EMBR3)</v>
    <v>24</v>
    <v>34</v>
    <v>Finance</v>
    <v>5</v>
    <v>83.95</v>
    <v>37.380000000000003</v>
    <v>BVMF</v>
    <v>740465000</v>
    <v>75.37</v>
    <v>2005</v>
    <v>72.900000000000006</v>
    <v>0.55430000000000001</v>
    <v>B3 - Brazil Stock Exchange</v>
    <v>55016550000</v>
    <v>A Embraer SA é uma fabricante brasileira de jatos. A Companhia produz aeronaves para aviação comercial e executiva, bem como para fins de defesa e segurança e serviços relacionados. Seus segmentos incluem o negócio de aviação comercial, que envolve o desenvolvimento, produção e venda de jatos comerciais, e prestação de serviços de apoio, particularmente no segmento de aviação regional e locação de aeronaves; negócio de jatos executivos, que comercializa seus jatos executivos para empresas, incluindo empresas de propriedade fracionada, empresas de fretamento e táxi aéreo, indivíduos de alto patrimônio líquido e academias de voo; segmento de Negócios de Defesa e Segurança, que concebe, desenvolve, e suporte a um mercado integrado; e outros segmentos de negócios relacionados, que fornecem sistemas de combustível, peças estruturais e sistemas mecânicos e hidráulicos para a Sikorsky Aircraft Corporation para sua produção de helicópteros.</v>
    <v>BVMF</v>
    <v>75.319999999999993</v>
    <v>20923</v>
    <v>45850</v>
    <v>507</v>
    <v>508</v>
    <v>8741430</v>
    <v>BRL</v>
    <v>EMBRAER S.A.</v>
    <v>EMBRAER S.A.</v>
    <v>75.3</v>
    <v>74.319999999999993</v>
    <v>Av Brigadeiro Faria Lima 2170, Putim, SAO JOSE DOS CAMPOS, SAO PAULO, 12.227-901 BR</v>
    <v>Aerospace &amp; Defense</v>
    <v>EMBR3</v>
    <v>Ações</v>
    <v>EMBRAER S.A. (BVMF:EMBR3)</v>
    <v>-1</v>
    <v>-1.3277000000000001E-2</v>
    <v>10689800</v>
  </rv>
  <rv s="2">
    <v>509</v>
  </rv>
  <rv s="0">
    <v>https://www.bing.com/financeapi/forcetrigger?t=apmi2w&amp;q=BVMF%3aENGI4&amp;form=skydnc</v>
    <v>Learn more on Bing</v>
  </rv>
  <rv s="8">
    <v>pt-BR</v>
    <v>apmi2w</v>
    <v>268435456</v>
    <v>1</v>
    <v>Da plataforma Refinitiv</v>
    <v>14</v>
    <v>15</v>
    <v>ENERGISA S.A. (BVMF:ENGI4)</v>
    <v>12</v>
    <v>16</v>
    <v>Finance</v>
    <v>5</v>
    <v>9.19</v>
    <v>5.97</v>
    <v>BVMF</v>
    <v>2289425000</v>
    <v>8.8000000000000007</v>
    <v>1998</v>
    <v>8.68</v>
    <v>0.98850000000000005</v>
    <v>B3 - Brazil Stock Exchange</v>
    <v>22187570000</v>
    <v>A Energisa SA é uma holding sediada no Brasil que atua no setor de energia. Por meio de suas subsidiárias, a Companhia tem por objetivo principal a distribuição e comercialização de energia elétrica. Distribui energia para consumo residencial, industrial, comercial e rural. A Companhia atua nos estados do Rio de Janeiro, São Paulo, Paraná, Minas Gerais, Sergipe, Paraíba, Mato Grosso, Mato Grosso do Sul, Tocantins, Rondônia e Acre. Além das entidades que atuam na distribuição de energia elétrica, as controladas da Companhia incluem a Energisa Solucoes SA, que presta serviços de geração e distribuição de energia elétrica; Energisa Servicos Aereos SA, que presta serviços de inspeção termográfica; e Energisa Planejamento e Corretagem Seguros Ltda, que atua no ramo de corretagem de seguros, entre outras.</v>
    <v>BVMF</v>
    <v>8.8000000000000007</v>
    <v>17000</v>
    <v>45850</v>
    <v>511</v>
    <v>6900</v>
    <v>BRL</v>
    <v>ENERGISA S.A.</v>
    <v>ENERGISA S.A.</v>
    <v>8.8000000000000007</v>
    <v>8.7200000000000006</v>
    <v>Praca Rui Barbosa,N 80(Parte), Centro, CATAGUASES, MINAS GERAIS, 36.770-901 BR</v>
    <v>Electrical Utilities &amp; IPPs</v>
    <v>ENGI4</v>
    <v>Ações</v>
    <v>ENERGISA S.A. (BVMF:ENGI4)</v>
    <v>-0.08</v>
    <v>-9.0910000000000001E-3</v>
    <v>2800</v>
  </rv>
  <rv s="2">
    <v>512</v>
  </rv>
  <rv s="0">
    <v>https://www.bing.com/financeapi/forcetrigger?t=aplwhw&amp;q=BVMF%3aANIM3&amp;form=skydnc</v>
    <v>Learn more on Bing</v>
  </rv>
  <rv s="8">
    <v>pt-BR</v>
    <v>aplwhw</v>
    <v>268435456</v>
    <v>1</v>
    <v>Da plataforma Refinitiv</v>
    <v>14</v>
    <v>15</v>
    <v>Ânima Holding S/A (BVMF:ANIM3)</v>
    <v>12</v>
    <v>17</v>
    <v>Finance</v>
    <v>5</v>
    <v>4.5199999999999996</v>
    <v>1.46</v>
    <v>BVMF</v>
    <v>403868800</v>
    <v>4.07</v>
    <v>2007</v>
    <v>3.78</v>
    <v>2.8544999999999998</v>
    <v>B3 - Brazil Stock Exchange</v>
    <v>1534701000</v>
    <v>A Anima Holding SA, anteriormente denominada GAEC Educacao SA, é uma empresa sediada no Brasil e dedica-se principalmente ao setor educacional. As atividades da Companhia estão divididas em dois segmentos: ensino superior e gestão vertical. A divisão de ensino superior se concentra no desenvolvimento de serviços de educação formal e à distância, oferecendo cursos universitários e cursos de especialização profissional, incluindo cursos de graduação, pós-graduação, mestrado, doutorado e extensão. A divisão de gestão vertical oferece congressos, fóruns, seminários, cursos de especialização e cursos in-company para profissionais, além de publicar livros e revistas relacionados a gestão e negócios. Suas instituições de ensino estão localizadas nos estados de Minas Gerais e São Paulo, Brasil. A Companhia atua por meio de diversas controladas, como Minas Gerais Educacao SA, Instituto Mineiro de Educacao e Cultura Uni-BH SA, Posse Gestao Patrimonial SA e HSM do Brasil SA.</v>
    <v>BVMF</v>
    <v>4.08</v>
    <v>4046</v>
    <v>45849.838755671095</v>
    <v>514</v>
    <v>4506530</v>
    <v>BRL</v>
    <v>Ânima Holding S/A</v>
    <v>Ânima Holding S/A</v>
    <v>4.07</v>
    <v>3.8</v>
    <v>Rua Harmonia, 1250 9 andar, Sumarezinho, SAO PAULO, SAO PAULO, 05.435-001 BR</v>
    <v>Miscellaneous Educational Service Providers</v>
    <v>ANIM3</v>
    <v>Ações</v>
    <v>Ânima Holding S/A (BVMF:ANIM3)</v>
    <v>-0.28000000000000003</v>
    <v>-6.8627000000000007E-2</v>
    <v>11183500</v>
  </rv>
  <rv s="2">
    <v>515</v>
  </rv>
  <rv s="0">
    <v>https://www.bing.com/financeapi/forcetrigger?t=apn6hw&amp;q=BVMF%3aPRIO3&amp;form=skydnc</v>
    <v>Learn more on Bing</v>
  </rv>
  <rv s="8">
    <v>pt-BR</v>
    <v>apn6hw</v>
    <v>268435456</v>
    <v>1</v>
    <v>Da plataforma Refinitiv</v>
    <v>14</v>
    <v>15</v>
    <v>PRIO S.A. (BVMF:PRIO3)</v>
    <v>12</v>
    <v>16</v>
    <v>Finance</v>
    <v>5</v>
    <v>50.12</v>
    <v>32.68</v>
    <v>BVMF</v>
    <v>896346200</v>
    <v>42.77</v>
    <v>2008</v>
    <v>41.67</v>
    <v>1.2918000000000001</v>
    <v>B3 - Brazil Stock Exchange</v>
    <v>38327763512</v>
    <v>A Prio SA, anteriormente Petro Rio SA, é uma holding sediada no Brasil. Atua através de suas subsidiárias e é especializada em gerenciamento eficiente de reservatórios e redesenvolvimento de campos maduros. A principal estratégia da Companhia é a aquisição de campos de petróleo e gás, geralmente de grandes empresas petrolíferas, e a criação de valor através da racionalização de custos, bem como a eficiência e a gestão meticulosa dos reservatórios. Os ativos da Prio SA incluem o Campo de Tubarao Martelo, que produz aproximadamente 10 000 barris de petróleo por dia através de seis poços interligados à FPSO Bravo, bem como Wahoo, um bloco exploratório na Bacia de Campos com potencial para produzir mais de 125 milhões de barris no pré-sal. A Companhia possui diversas subsidiárias, como a Petro Rio O&amp;G Exploracao e Producao de Petroleo Ltda e a PRIO Bravo Ltda.</v>
    <v>BVMF</v>
    <v>41.8</v>
    <v>90</v>
    <v>45850</v>
    <v>517</v>
    <v>6848840</v>
    <v>BRL</v>
    <v>PRIO S.A.</v>
    <v>PRIO S.A.</v>
    <v>41.8</v>
    <v>42.76</v>
    <v>Pr De Botafogo 370 : 1 Andar Parte;, Botafogo, RIO DE JANEIRO, RIO DE JANEIRO, 22.250-040 BR</v>
    <v>Oil &amp; Gas</v>
    <v>PRIO3</v>
    <v>Ações</v>
    <v>PRIO S.A. (BVMF:PRIO3)</v>
    <v>0.96</v>
    <v>2.2967000000000001E-2</v>
    <v>8109200</v>
  </rv>
  <rv s="2">
    <v>518</v>
  </rv>
  <rv s="0">
    <v>https://www.bing.com/financeapi/forcetrigger?t=apn2c7&amp;q=BVMF%3aODPV3&amp;form=skydnc</v>
    <v>Learn more on Bing</v>
  </rv>
  <rv s="8">
    <v>pt-BR</v>
    <v>apn2c7</v>
    <v>268435456</v>
    <v>1</v>
    <v>Da plataforma Refinitiv</v>
    <v>14</v>
    <v>15</v>
    <v>ODONTOPREV S.A. (BVMF:ODPV3)</v>
    <v>12</v>
    <v>16</v>
    <v>Finance</v>
    <v>5</v>
    <v>12</v>
    <v>9.5</v>
    <v>BVMF</v>
    <v>552495700</v>
    <v>11.59</v>
    <v>1987</v>
    <v>11.18</v>
    <v>0.53480000000000005</v>
    <v>B3 - Brazil Stock Exchange</v>
    <v>6403425163</v>
    <v>A ODONTOPREV S.A. é uma empresa estabelecida no Brasil, que atua principalmente na prestação de serviços de tratamento dentário. A empresa opera no gerenciamento, na venda e no fornecimento de planos e serviços privados de tratamentos dentários. Oferece serviços para pessoas físicas e jurídicas. Os serviços odontológicos da empresa estão organizados em três segmentos principais: planos coletivos pré-pagos, planos coletivos pós-pagos e planos individuais pré-pagos. Através de sua subsidiária indireta Easy Software Ltda., a empresa também atua no desenvolvimento de software de computadores para a indústria odontológica. A ODONTOPREV S.A. tem participação acionária em várias subsidiárias, como Clidec - Clínica Dentária Especializada Cura Dar's Ltda., Odontoprev Serviços Ltda., Garcia Pedrosa Ltda. e Adcon Administradora de Convênios Odontológicos Ltda. Ademais, a empresa é uma subsidiária da Bradesco Saúde S.A., uma unidade do Banco Bradesco Seguros e Previdência S.A., que pertence ao Banco Bradesco S.A.</v>
    <v>BVMF</v>
    <v>11.39</v>
    <v>2026</v>
    <v>45850</v>
    <v>520</v>
    <v>2102640</v>
    <v>BRL</v>
    <v>ODONTOPREV S.A.</v>
    <v>ODONTOPREV S.A.</v>
    <v>11.4</v>
    <v>11.59</v>
    <v>Alameda Araguaia, 2104 - 21 Andar, Alphaville, BARUERI, SAO PAULO, 06.460-040 BR</v>
    <v>Healthcare Providers &amp; Services</v>
    <v>ODPV3</v>
    <v>Ações</v>
    <v>ODONTOPREV S.A. (BVMF:ODPV3)</v>
    <v>0.2</v>
    <v>1.7559000000000002E-2</v>
    <v>4262200</v>
  </rv>
  <rv s="2">
    <v>521</v>
  </rv>
  <rv s="0">
    <v>https://www.bing.com/financeapi/forcetrigger?t=c1w2k2&amp;q=BVMF%3aRECV3&amp;form=skydnc</v>
    <v>Learn more on Bing</v>
  </rv>
  <rv s="8">
    <v>pt-BR</v>
    <v>c1w2k2</v>
    <v>268435456</v>
    <v>1</v>
    <v>Da plataforma Refinitiv</v>
    <v>14</v>
    <v>15</v>
    <v>PetroRecôncavo S.A. (BVMF:RECV3)</v>
    <v>12</v>
    <v>17</v>
    <v>Finance</v>
    <v>5</v>
    <v>19.47</v>
    <v>11.88</v>
    <v>BVMF</v>
    <v>293472100</v>
    <v>14.52</v>
    <v>2000</v>
    <v>13.95</v>
    <v>0.83250000000000002</v>
    <v>B3 - Brazil Stock Exchange</v>
    <v>4246542000</v>
    <v>A PetroReconcavo SA é uma empresa operadora independente de petróleo e gás sediada no Brasil. A Companhia se especializa na operação, desenvolvimento e revitalização de campos maduros em bacias terrestres de óleo e gás (onshore). A Companhia possui 155,9 MMboe de reservas brutas 2P (working interest). A Companhia avança na criação das condições de acesso às infraestruturas essenciais de escoamento e processamento de gás natural mediante a contratação de serviços na modalidade de “tolling”, que a permite acessar diretamente o mercado nacional de gás. O modelo de negócios da Companhia baseia-se na compra (ou na prestação de serviços de operação) de concessões de campos onshore maduros, operando esses campos, revitalizando-os e estendendo suas reservas.</v>
    <v>BVMF</v>
    <v>13.98</v>
    <v>532</v>
    <v>45849.838601238283</v>
    <v>523</v>
    <v>2403570</v>
    <v>BRL</v>
    <v>PetroRecôncavo S.A.</v>
    <v>PetroRecôncavo S.A.</v>
    <v>14.01</v>
    <v>14.47</v>
    <v>Est Do Vinte Mil Km 3,5 Estacao De Sao Roque, Mata De Sao Joao, MATA DE SAO JOAO, BAHIA, 48.280-000 BR</v>
    <v>Oil &amp; Gas</v>
    <v>RECV3</v>
    <v>Ações</v>
    <v>PetroRecôncavo S.A. (BVMF:RECV3)</v>
    <v>0.49</v>
    <v>3.5049999999999998E-2</v>
    <v>4711600</v>
  </rv>
  <rv s="2">
    <v>524</v>
  </rv>
  <rv s="0">
    <v>https://www.bing.com/financeapi/forcetrigger?t=btrmim&amp;q=BVMF%3aMDNE3&amp;form=skydnc</v>
    <v>Learn more on Bing</v>
  </rv>
  <rv s="8">
    <v>pt-BR</v>
    <v>btrmim</v>
    <v>268435456</v>
    <v>1</v>
    <v>Da plataforma Refinitiv</v>
    <v>14</v>
    <v>15</v>
    <v>Moura Dubeux Engenharia S/A (BVMF:MDNE3)</v>
    <v>12</v>
    <v>17</v>
    <v>Finance</v>
    <v>5</v>
    <v>24.77</v>
    <v>9.74</v>
    <v>BVMF</v>
    <v>84909370</v>
    <v>23.69</v>
    <v>1987</v>
    <v>23.15</v>
    <v>1.6946000000000001</v>
    <v>B3 - Brazil Stock Exchange</v>
    <v>1971595571</v>
    <v>A Moura Dubeux Engenharia SA é uma empresa sediada no Brasil que atua principalmente no setor imobiliário residencial. A Empresa atua na compra e venda de propriedades; parcelamento e locação, incorporação e construção de imóveis. O portfólio da Companhia inclui principalmente edifícios de apartamentos nos estados brasileiros de Alagoas, Bahia, Ceará, Pernambuco e Rio Grande do Norte. Em 31 de dezembro de 2011, as subsidiárias da Companhia incluíam MD Colonial Empreendimentos Imobiliarios Ltda, MD PE Distribution Park Suape Ltda, MD PE Novo Jardim Construções SA, MD PE Cedro Empreendimentos Imobiliarios Ltda, Moura Dubeux Engenharia e Empreendimentos SA, Clic Administradora SA, MD Imoveis Ltda, AGM Empreendimentos Imobiliarios Ltda e MD Edificio Hilson de Azavedo Mota Ltda, entre outros.</v>
    <v>BVMF</v>
    <v>23.6</v>
    <v>1388</v>
    <v>45849.838194745309</v>
    <v>526</v>
    <v>853570</v>
    <v>BRL</v>
    <v>Moura Dubeux Engenharia S/A</v>
    <v>Moura Dubeux Engenharia S/A</v>
    <v>23.62</v>
    <v>23.22</v>
    <v>Av Engenheiro Domingos Ferreira 467 13 Andar Parte, Pina, RECIFE, PERNAMBUCO, 51.011-050 BR</v>
    <v>Real Estate Operations</v>
    <v>MDNE3</v>
    <v>Ações</v>
    <v>Moura Dubeux Engenharia S/A (BVMF:MDNE3)</v>
    <v>-0.38</v>
    <v>-1.6102000000000002E-2</v>
    <v>349300</v>
  </rv>
  <rv s="2">
    <v>527</v>
  </rv>
  <rv s="0">
    <v>https://www.bing.com/financeapi/forcetrigger?t=apn94c&amp;q=BVMF%3aRCSL4&amp;form=skydnc</v>
    <v>Learn more on Bing</v>
  </rv>
  <rv s="8">
    <v>pt-BR</v>
    <v>apn94c</v>
    <v>268435456</v>
    <v>1</v>
    <v>Da plataforma Refinitiv</v>
    <v>14</v>
    <v>15</v>
    <v>RECRUSUL S.A. (BVMF:RCSL4)</v>
    <v>12</v>
    <v>16</v>
    <v>Finance</v>
    <v>5</v>
    <v>2.33</v>
    <v>0.64</v>
    <v>BVMF</v>
    <v>31822290</v>
    <v>0.96</v>
    <v>1954</v>
    <v>0.93</v>
    <v>1.4935</v>
    <v>B3 - Brazil Stock Exchange</v>
    <v>42707910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0.95</v>
    <v>106</v>
    <v>45850</v>
    <v>529</v>
    <v>3593990</v>
    <v>BRL</v>
    <v>RECRUSUL S.A.</v>
    <v>RECRUSUL S.A.</v>
    <v>0.95</v>
    <v>0.95</v>
    <v>Av. Luiz Pasteur, 1020, Tres Portos, SAPUCAIA DO SUL, RIO GRANDE DO SUL, 93.212-360 BR</v>
    <v>Automobiles &amp; Auto Parts</v>
    <v>RCSL4</v>
    <v>Ações</v>
    <v>RECRUSUL S.A. (BVMF:RCSL4)</v>
    <v>0</v>
    <v>0</v>
    <v>3199400</v>
  </rv>
  <rv s="2">
    <v>530</v>
  </rv>
  <rv s="0">
    <v>https://www.bing.com/financeapi/forcetrigger?t=apnhfr&amp;q=BVMF%3aTPIS3&amp;form=skydnc</v>
    <v>Learn more on Bing</v>
  </rv>
  <rv s="8">
    <v>pt-BR</v>
    <v>apnhfr</v>
    <v>268435456</v>
    <v>1</v>
    <v>Da plataforma Refinitiv</v>
    <v>14</v>
    <v>15</v>
    <v>TPI - Triunfo Participações e Investimentos S.A. (BVMF:TPIS3)</v>
    <v>12</v>
    <v>16</v>
    <v>Finance</v>
    <v>5</v>
    <v>7.1</v>
    <v>3.45</v>
    <v>BVMF</v>
    <v>44000000</v>
    <v>4.07</v>
    <v>1999</v>
    <v>4.0199999999999996</v>
    <v>1.8313999999999999</v>
    <v>B3 - Brazil Stock Exchange</v>
    <v>177320000</v>
    <v>A TPI - Triunfo Participações e Investimentos S.A. é uma empresa holding estabelecida no Brasil, que atua principalmente na operação de rodovias. A empresa divide seus negócios em quatro segmentos principais: concessões de rodovias, administração de portos, transporte costeiro e energia. No segmento de concessões de rodovias, a Triunfo atua na gestão, cobrança de pedágio, manutenção e conservação de estradas. No segmento de administração de portos, atua na operação de portos e em serviços de armazenagem. No segmento de transporte costeiro, a empresa opera no transporte aquático de cargas e em serviços de navegação. No segmento de energia, atua na geração e na transmissão da energia elétrica. A Triunfo conta com várias subsidiárias, inclusive a empresa Concessionária de Rodovias do Norte S.A. e a Transbrasiliana Concessionária de Rodovia S.A., dentre outras. Em 26 de agosto de 2014, a empresa adquiriu o Fundo de Investimento em Participações Constantinopla.</v>
    <v>BVMF</v>
    <v>4.09</v>
    <v>3380</v>
    <v>45850</v>
    <v>532</v>
    <v>9830</v>
    <v>BRL</v>
    <v>TPI - Triunfo Participações e Investimentos S.A.</v>
    <v>TPI - Triunfo Participações e Investimentos S.A.</v>
    <v>4.07</v>
    <v>4.03</v>
    <v>Rua Olimpiadas, 205,14 andar, Vila Olimpia, SAO PAULO, SAO PAULO, 04.551-000 BR</v>
    <v>Transport Infrastructure</v>
    <v>TPIS3</v>
    <v>Ações</v>
    <v>TPI - Triunfo Participações e Investimentos S.A. (BVMF:TPIS3)</v>
    <v>-0.06</v>
    <v>-1.4670000000000001E-2</v>
    <v>17800</v>
  </rv>
  <rv s="2">
    <v>533</v>
  </rv>
  <rv s="0">
    <v>https://www.bing.com/financeapi/forcetrigger?t=apml6h&amp;q=BVMF%3aTASA4&amp;form=skydnc</v>
    <v>Learn more on Bing</v>
  </rv>
  <rv s="8">
    <v>pt-BR</v>
    <v>apml6h</v>
    <v>268435456</v>
    <v>1</v>
    <v>Da plataforma Refinitiv</v>
    <v>14</v>
    <v>15</v>
    <v>Taurus Armas S.A (BVMF:TASA4)</v>
    <v>12</v>
    <v>17</v>
    <v>Finance</v>
    <v>5</v>
    <v>11.36</v>
    <v>6.17</v>
    <v>BVMF</v>
    <v>139297900</v>
    <v>6.57</v>
    <v>1939</v>
    <v>6.17</v>
    <v>1.1708000000000001</v>
    <v>B3 - Brazil Stock Exchange</v>
    <v>948862500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6.5</v>
    <v>3286</v>
    <v>45849.838194825781</v>
    <v>535</v>
    <v>257230</v>
    <v>BRL</v>
    <v>Taurus Armas S.A</v>
    <v>Taurus Armas S.A</v>
    <v>6.5</v>
    <v>6.35</v>
    <v>Avenida Sao Borja 2181/Predio A, Fazenda Sao Borja, SAO LEOPOLDO, RIO GRANDE DO SUL, 93.035-411 BR</v>
    <v>Aerospace &amp; Defense</v>
    <v>TASA4</v>
    <v>Ações</v>
    <v>Taurus Armas S.A (BVMF:TASA4)</v>
    <v>-0.15</v>
    <v>-2.3077E-2</v>
    <v>445000</v>
  </rv>
  <rv s="2">
    <v>536</v>
  </rv>
  <rv s="0">
    <v>https://www.bing.com/financeapi/forcetrigger?t=apnd4c&amp;q=BVMF%3aSNSY5&amp;form=skydnc</v>
    <v>Learn more on Bing</v>
  </rv>
  <rv s="8">
    <v>pt-BR</v>
    <v>apnd4c</v>
    <v>268435456</v>
    <v>1</v>
    <v>Da plataforma Refinitiv</v>
    <v>14</v>
    <v>15</v>
    <v>Sansuy S/A Indústria de Plásticos em Recuperação Judicial (BVMF:SNSY5)</v>
    <v>12</v>
    <v>16</v>
    <v>Finance</v>
    <v>5</v>
    <v>6.29</v>
    <v>3.29</v>
    <v>BVMF</v>
    <v>7716400</v>
    <v>3.57</v>
    <v>1979</v>
    <v>3.45</v>
    <v>0.35160000000000002</v>
    <v>B3 - Brazil Stock Exchange</v>
    <v>48312760</v>
    <v>Sansuy SA Industria de Plasticos em Recuperacao Judicial é uma produtora brasileira de mangueiras resistentes a alta pressão para pulverização agrícola. A empresa está organizada em duas principais unidades de negócios: Plásticos laminados e confecionados de cloreto de polivinilo (PVC), bem como tubos de plástico. Os laminados de PVC são inicialmente fabricados usando o processo de calandragem. O resultado é um produto com uma estrutura reforçada (laminado reforçado) e flexibilidade projetado para várias necessidades, incluindo a fabricação de lonas de vinil e revestimentos para o mercado automotivo. A unidade da empresa em Embu das Artes é responsável pela produção de tubos de polietileno de alta densidade (HDPE) até um diâmetro interno de 3000 mm. Os clientes da Sansuy SA incluem Mercedes Benz, Promo Inflavieis, Weatherhaven e WhiteMartins.</v>
    <v>BVMF</v>
    <v>3.46</v>
    <v>1460</v>
    <v>45850</v>
    <v>538</v>
    <v>12340</v>
    <v>BRL</v>
    <v>Sansuy S/A Indústria de Plásticos em Recuperação Judicial</v>
    <v>Sansuy S/A Indústria de Plásticos em Recuperação Judicial</v>
    <v>3.45</v>
    <v>3.51</v>
    <v>Rua dos Plasticos, 761, Area Indl. Leste, CAMACARI, BAHIA, 42.810-240 BR</v>
    <v>Chemicals</v>
    <v>SNSY5</v>
    <v>Ações</v>
    <v>Sansuy S/A Indústria de Plásticos em Recuperação Judicial (BVMF:SNSY5)</v>
    <v>0.05</v>
    <v>1.4451E-2</v>
    <v>5400</v>
  </rv>
  <rv s="2">
    <v>539</v>
  </rv>
  <rv s="0">
    <v>https://www.bing.com/financeapi/forcetrigger?t=bvjsa2&amp;q=BVMF%3aLAVV3&amp;form=skydnc</v>
    <v>Learn more on Bing</v>
  </rv>
  <rv s="8">
    <v>pt-BR</v>
    <v>bvjsa2</v>
    <v>268435456</v>
    <v>1</v>
    <v>Da plataforma Refinitiv</v>
    <v>14</v>
    <v>15</v>
    <v>Lavvi Empreendimentos Imobiliários S/A (BVMF:LAVV3)</v>
    <v>12</v>
    <v>17</v>
    <v>Finance</v>
    <v>5</v>
    <v>12.72</v>
    <v>6.62</v>
    <v>BVMF</v>
    <v>195434400</v>
    <v>12.7</v>
    <v>2016</v>
    <v>12.4</v>
    <v>1.1625000000000001</v>
    <v>B3 - Brazil Stock Exchange</v>
    <v>2472245160</v>
    <v>Lavvi Empreendimentos Imobiliarios S/A, antiga Lavvi Empreendimentos Imobiliarios Ltda é uma empresa brasileira de desenvolvimento e construção de imóveis residenciais e não residenciais de médio, alto e alto nível, na capital de São Paulo. As atividades da Companhia são compostas por um segmento operacional: O desenvolvimento imobiliário. Os projetos da Lavvi incluem Soleil by Boca do Lobo, Heaven Residences, Green View Residence, Wonder by Praças da Cidade, Heaven Apartments e Wonder Ipiranga Residence. A Lavvi Empreendimentos Imobiliários S/A adquire o terreno, desenvolve e legaliza o projeto, comercializa as unidades e entrega o projeto imobiliário final. A Companhia possui duas subsidiárias: LV Construcao e Empreitada Ltda e Lior Consultoria Imobiliaria Ltda.</v>
    <v>BVMF</v>
    <v>12.58</v>
    <v>16</v>
    <v>45849.83750032344</v>
    <v>541</v>
    <v>411430</v>
    <v>BRL</v>
    <v>Lavvi Empreendimentos Imobiliários S/A</v>
    <v>Lavvi Empreendimentos Imobiliários S/A</v>
    <v>12.6</v>
    <v>12.65</v>
    <v>Avenida Angelica, 2346 8 andar CJ 84, Bairro Consolacao, Sao Paulo, SAO PAULO, 01.228-200 BR</v>
    <v>Real Estate Operations</v>
    <v>LAVV3</v>
    <v>Ações</v>
    <v>Lavvi Empreendimentos Imobiliários S/A (BVMF:LAVV3)</v>
    <v>7.0000000000000007E-2</v>
    <v>5.5640000000000004E-3</v>
    <v>394000</v>
  </rv>
  <rv s="2">
    <v>542</v>
  </rv>
  <rv s="0">
    <v>https://www.bing.com/financeapi/forcetrigger?t=aplvcw&amp;q=BVMF%3aALPA3&amp;form=skydnc</v>
    <v>Learn more on Bing</v>
  </rv>
  <rv s="8">
    <v>pt-BR</v>
    <v>aplvcw</v>
    <v>268435456</v>
    <v>1</v>
    <v>Da plataforma Refinitiv</v>
    <v>14</v>
    <v>15</v>
    <v>ALPARGATAS S.A. (BVMF:ALPA3)</v>
    <v>12</v>
    <v>16</v>
    <v>Finance</v>
    <v>5</v>
    <v>9.57</v>
    <v>5.61</v>
    <v>BVMF</v>
    <v>683062200</v>
    <v>8.09</v>
    <v>1907</v>
    <v>8.0500000000000007</v>
    <v>0.9546</v>
    <v>B3 - Brazil Stock Exchange</v>
    <v>5708015000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8.1</v>
    <v>17000</v>
    <v>45850</v>
    <v>544</v>
    <v>1082620</v>
    <v>BRL</v>
    <v>ALPARGATAS S.A.</v>
    <v>ALPARGATAS S.A.</v>
    <v>8.0500000000000007</v>
    <v>8.09</v>
    <v>Av. das Nacoes Unidas, 14.261, Vila Gertrudes, SAO PAULO, SAO PAULO, 04.794-000 BR</v>
    <v>Textiles &amp; Apparel</v>
    <v>ALPA3</v>
    <v>Ações</v>
    <v>ALPARGATAS S.A. (BVMF:ALPA3)</v>
    <v>-0.01</v>
    <v>-1.235E-3</v>
    <v>1300</v>
  </rv>
  <rv s="2">
    <v>545</v>
  </rv>
  <rv s="0">
    <v>https://www.bing.com/financeapi/forcetrigger?t=c2vjhw&amp;q=BVMF%3aLVTC3&amp;form=skydnc</v>
    <v>Learn more on Bing</v>
  </rv>
  <rv s="9">
    <v>pt-BR</v>
    <v>c2vjhw</v>
    <v>268435456</v>
    <v>1</v>
    <v>Da plataforma Refinitiv</v>
    <v>18</v>
    <v>19</v>
    <v>Livetech da Bahia Indústria e Comércio S.A. (BVMF:LVTC3)</v>
    <v>12</v>
    <v>27</v>
    <v>Finance</v>
    <v>5</v>
    <v>4.0199999999999996</v>
    <v>2.0099999999999998</v>
    <v>BVMF</v>
    <v>63461460</v>
    <v>3.68</v>
    <v>2003</v>
    <v>3.5</v>
    <v>1.5377000000000001</v>
    <v>B3 - Brazil Stock Exchange</v>
    <v>222115110</v>
    <v>A Livetech da Bahia Industria e Comercio SA (WDC Networks) é uma empresa de fornecimento de equipamentos e de soluções de Telecom, Tecnologia da Informação (TI), e Energia Solar sediada no Brasil que atende uma variada gama de clientes nacionalmente e na Colômbia, Estados Unidos e Panamá. A Companhia desenvolveu um modelo de negócio de locação de equipamentos, transformando Capex em Opex, denominado como TaaS (Technology as a Service). A Companhia fornece serviços e produtos, incluindo infraestrutura de banda larga, câmeras de vigilância, sistemas de controle de acesso, Cibersegurança, data center, automação, e geradores de energia solar.</v>
    <v>BVMF</v>
    <v>3.59</v>
    <v>45849.836806110936</v>
    <v>547</v>
    <v>16170</v>
    <v>BRL</v>
    <v>Livetech da Bahia Indústria e Comércio S.A.</v>
    <v>Livetech da Bahia Indústria e Comércio S.A.</v>
    <v>3.68</v>
    <v>3.5</v>
    <v>Rodovia BA-262, Ilheus x Urucuca, s/n, Km 2,8 Quadra A, Polo de Informatica, Iguape, ILHEUS, BAHIA, 45.658-335 BR</v>
    <v>Telecommunications Services</v>
    <v>LVTC3</v>
    <v>Ações</v>
    <v>Livetech da Bahia Indústria e Comércio S.A. (BVMF:LVTC3)</v>
    <v>-0.09</v>
    <v>-2.5070000000000002E-2</v>
    <v>26400</v>
  </rv>
  <rv s="2">
    <v>548</v>
  </rv>
  <rv s="0">
    <v>https://www.bing.com/financeapi/forcetrigger?t=aplzoc&amp;q=BVMF%3aBEEF3&amp;form=skydnc</v>
    <v>Learn more on Bing</v>
  </rv>
  <rv s="8">
    <v>pt-BR</v>
    <v>aplzoc</v>
    <v>268435456</v>
    <v>1</v>
    <v>Da plataforma Refinitiv</v>
    <v>14</v>
    <v>15</v>
    <v>Minerva S.A (BVMF:BEEF3)</v>
    <v>12</v>
    <v>16</v>
    <v>Finance</v>
    <v>5</v>
    <v>7.3</v>
    <v>3.75</v>
    <v>BVMF</v>
    <v>994130600</v>
    <v>5.46</v>
    <v>1992</v>
    <v>5.3</v>
    <v>0.77910000000000001</v>
    <v>B3 - Brazil Stock Exchange</v>
    <v>5348423000</v>
    <v>A Minerva SA é uma empresa sediada no Brasil que tem por objetivo principal a produção e comercialização de carne bovina. As atividades da Empresa estão divididas em dois segmentos de negócio: Carne e Pecuária. A divisão Carnes atua na produção e comercialização de carne bovina in natura. Este segmento inclui o processamento de carne bovina, suína e de aves, bem como a produção e comercialização de subprodutos do gado, como peles ou miúdos. A divisão Pecuária tem como foco a exportação de gado vivo. A Companhia opera frigoríficos no Brasil, Paraguai Uruguai, Colômbia e Argentina, planta de processamento de carnes no Brasil e duas plantas de processamento de proteínas na Argentina. A Firma possui diversas subsidiárias, como Minerva Dawn Farms Industria e Comercio de Proteinas SA, CSAP Companhia Sul Americana de Pecuaria SA e Athena Foods SA, entre outras.</v>
    <v>BVMF</v>
    <v>5.41</v>
    <v>22000</v>
    <v>45850</v>
    <v>550</v>
    <v>16473130</v>
    <v>BRL</v>
    <v>Minerva S.A</v>
    <v>Minerva S.A</v>
    <v>5.42</v>
    <v>5.37</v>
    <v>Avenida Antonio Manco Bernardes s/n, BARRETOS, SAO PAULO, 14.781-545 BR</v>
    <v>Food &amp; Tobacco</v>
    <v>BEEF3</v>
    <v>Ações</v>
    <v>Minerva S.A (BVMF:BEEF3)</v>
    <v>-0.04</v>
    <v>-7.3939999999999995E-3</v>
    <v>10237200</v>
  </rv>
  <rv s="2">
    <v>551</v>
  </rv>
  <rv s="0">
    <v>https://www.bing.com/financeapi/forcetrigger?t=aplvfr&amp;q=BVMF%3aALPA4&amp;form=skydnc</v>
    <v>Learn more on Bing</v>
  </rv>
  <rv s="8">
    <v>pt-BR</v>
    <v>aplvfr</v>
    <v>268435456</v>
    <v>1</v>
    <v>Da plataforma Refinitiv</v>
    <v>14</v>
    <v>15</v>
    <v>ALPARGATAS S.A. (BVMF:ALPA4)</v>
    <v>12</v>
    <v>16</v>
    <v>Finance</v>
    <v>5</v>
    <v>9.65</v>
    <v>5.86</v>
    <v>BVMF</v>
    <v>683062200</v>
    <v>8.65</v>
    <v>1907</v>
    <v>8.4700000000000006</v>
    <v>0.9546</v>
    <v>B3 - Brazil Stock Exchange</v>
    <v>5708015000</v>
    <v>Alpargatas SA, anteriormente São Paulo Alpargatas SA, é uma empresa brasileira que atua na produção de calçados, vestuário e artigos esportivos. A Companhia fabrica e vende calçados e seus componentes, roupas e produtos têxteis. O portfólio de marcas da empresa inclui Havaianas, fabricando chinelos em vários designs e cores; Osklen, uma marca de moda que oferece roupas masculinas e femininas, sapatos e acessórios, como bolsas e óculos de sol, e Dupe, fabricante de sandálias que usa a tecnologia HXP Gel que proporciona mais conforto e suavidade aos pés dos consumidores. A empresa está presente em todo o mundo, incluindo Colômbia, Hong Kong, Londres, Lisboa e São Paulo.</v>
    <v>BVMF</v>
    <v>8.61</v>
    <v>17000</v>
    <v>45850</v>
    <v>553</v>
    <v>1082620</v>
    <v>BRL</v>
    <v>ALPARGATAS S.A.</v>
    <v>ALPARGATAS S.A.</v>
    <v>8.5299999999999994</v>
    <v>8.56</v>
    <v>Av. das Nacoes Unidas, 14.261, Vila Gertrudes, SAO PAULO, SAO PAULO, 04.794-000 BR</v>
    <v>Textiles &amp; Apparel</v>
    <v>ALPA4</v>
    <v>Ações</v>
    <v>ALPARGATAS S.A. (BVMF:ALPA4)</v>
    <v>-0.05</v>
    <v>-5.8069999999999997E-3</v>
    <v>917600</v>
  </rv>
  <rv s="2">
    <v>554</v>
  </rv>
  <rv s="0">
    <v>https://www.bing.com/financeapi/forcetrigger?t=c2tzrw&amp;q=BVMF%3aMLAS3&amp;form=skydnc</v>
    <v>Learn more on Bing</v>
  </rv>
  <rv s="8">
    <v>pt-BR</v>
    <v>c2tzrw</v>
    <v>268435456</v>
    <v>1</v>
    <v>Da plataforma Refinitiv</v>
    <v>14</v>
    <v>15</v>
    <v>GRUPO MULTI S.A. (BVMF:MLAS3)</v>
    <v>12</v>
    <v>17</v>
    <v>Finance</v>
    <v>5</v>
    <v>2.3199999999999998</v>
    <v>0.99</v>
    <v>BVMF</v>
    <v>820539200</v>
    <v>1.06</v>
    <v>1988</v>
    <v>1.03</v>
    <v>1.8414999999999999</v>
    <v>B3 - Brazil Stock Exchange</v>
    <v>853360768</v>
    <v>O Grupo Multi SA, anteriormente Multilaser Industrial SA, é uma empresa diversificada de bens de consumo com sede no Brasil. Está envolvida no desenvolvimento, fabricação, distribuição, vendas e serviços pós-venda de vários produtos em diferentes setores, como smartphones, drives USB (Universal Serial Bus), pequenos aparelhos, utensílios domésticos, acessórios e equipamentos esportivos, instrumentos de saúde, redes de telecomunicações, acessórios e produtos automotivos, áudio e vídeo, segurança eletrônica, animais de estimação e cuidados infantis. As atividades do Grupo Multi estão divididas em quatro segmentos: Dispositivos Móveis, Suprimentos de Escritório e Tecnologia da Informação (TI), Produtos Elétricos Domésticos e Kids &amp; Sports. A empresa está estruturada em 14 unidades de negócios com equipes especializadas em áreas como marketing, engenharia e desenvolvimento de produtos.</v>
    <v>BVMF</v>
    <v>1.04</v>
    <v>5000</v>
    <v>45849.837500428126</v>
    <v>556</v>
    <v>820070</v>
    <v>BRL</v>
    <v>GRUPO MULTI S.A.</v>
    <v>GRUPO MULTI S.A.</v>
    <v>1.05</v>
    <v>1.04</v>
    <v>Avenida Brigadeiro Faria Lima, n 1811 15 andar, Jardim America, SAO PAULO, SAO PAULO, 01.452-000 BR</v>
    <v>Computers, Phones &amp; Household Electronics</v>
    <v>MLAS3</v>
    <v>Ações</v>
    <v>GRUPO MULTI S.A. (BVMF:MLAS3)</v>
    <v>0</v>
    <v>0</v>
    <v>797000</v>
  </rv>
  <rv s="2">
    <v>557</v>
  </rv>
  <rv s="0">
    <v>https://www.bing.com/financeapi/forcetrigger?t=apmj52&amp;q=BVMF%3aEUCA4&amp;form=skydnc</v>
    <v>Learn more on Bing</v>
  </rv>
  <rv s="8">
    <v>pt-BR</v>
    <v>apmj52</v>
    <v>268435456</v>
    <v>1</v>
    <v>Da plataforma Refinitiv</v>
    <v>14</v>
    <v>15</v>
    <v>Eucatex S.A. Industria e Comercio (BVMF:EUCA4)</v>
    <v>12</v>
    <v>16</v>
    <v>Finance</v>
    <v>5</v>
    <v>19.3</v>
    <v>11.85</v>
    <v>BVMF</v>
    <v>92619260</v>
    <v>17.61</v>
    <v>1951</v>
    <v>17</v>
    <v>1.0206</v>
    <v>B3 - Brazil Stock Exchange</v>
    <v>1778444000</v>
    <v>A EUCATEX S.A. INDÚSTRIA E COMÉRCIO é uma empresa brasileira que se dedica essencialmente à fabricação de painéis de madeira e tintas. A Empresa produz e comercializa painéis prensados, painéis de fibra de média densidade (MDF), MDF fino de alta densidade (THDF), aglomerado de densidade média (MDP), piso laminado e portas, entre outros. Através de suas subsidiárias, a Empresa também atua na produção e venda de tintas decorativas e vernizes, atividades florestais e distribuição de energia elétrica. Em 31 de dezembro de 2011, a Empresa operava quatro unidades industriais e aproximadamente 45.400 hectares de floresta localizados no estado brasileiro de São Paulo. Em 31 de dezembro de 2011, as subsidiárias diretas da Empresa eram a Eucatex Tintas e Vernizes Ltda., a Eucatex Distribuidora de Solventes Ltda., a Eucatex of North America Inc, Tamboré Ind e Com Prod Met Ltda., Eucatex Comercial e Logística Ltda., Novo Prisma Agro-Florestal Ltda., Eucatex Imobiliária Ltda. e ECTX SA.</v>
    <v>BVMF</v>
    <v>16.989999999999998</v>
    <v>2378</v>
    <v>45850</v>
    <v>559</v>
    <v>61030</v>
    <v>BRL</v>
    <v>Eucatex S.A. Industria e Comercio</v>
    <v>Eucatex S.A. Industria e Comercio</v>
    <v>17.12</v>
    <v>17.170000000000002</v>
    <v>Av. Juscelino Kubitschek, 1830 11 andar,Torre I, Vila Olimpia, SAO PAULO, SAO PAULO, 04.543-900 BR</v>
    <v>Paper &amp; Forest Products</v>
    <v>EUCA4</v>
    <v>Ações</v>
    <v>Eucatex S.A. Industria e Comercio (BVMF:EUCA4)</v>
    <v>0.18</v>
    <v>1.0593999999999999E-2</v>
    <v>48200</v>
  </rv>
  <rv s="2">
    <v>560</v>
  </rv>
  <rv s="0">
    <v>https://www.bing.com/financeapi/forcetrigger?t=azh5a2&amp;q=BVMF%3aB3SA3&amp;form=skydnc</v>
    <v>Learn more on Bing</v>
  </rv>
  <rv s="8">
    <v>pt-BR</v>
    <v>azh5a2</v>
    <v>268435456</v>
    <v>1</v>
    <v>Da plataforma Refinitiv</v>
    <v>14</v>
    <v>15</v>
    <v>B3 S.A - Brasil, Bolsa, Balcão (BVMF:B3SA3)</v>
    <v>12</v>
    <v>16</v>
    <v>Finance</v>
    <v>5</v>
    <v>15.03</v>
    <v>8.84</v>
    <v>BVMF</v>
    <v>5426500000</v>
    <v>14.05</v>
    <v>2007</v>
    <v>13.52</v>
    <v>1.4935</v>
    <v>B3 - Brazil Stock Exchange</v>
    <v>74397315000</v>
    <v>B3 SA Brasil Bolsa Balcão, anteriormente BM &amp; F Bovespa SA Bolsa de Valores Mercadorias e Futuros, é uma fornecedora de infra-estruturaa de mercado financeiro no Brasil. As ofertas de serviços da Companhia varia entre negociação cambial, compensação e outros serviços pós-negociação e registro de transações de balcão (OTC). A Companhia também fornece um serviço de listagem e atua como depósito central de valores mobiliários (CSD). Desenvolve soluções de software e oferece serviços de licenciamento de índice. Seu negócio está dividido em quatro segmentos: Bovespa, que abrange a negociação, compensação e liquidação de ações e derivativos patrimoniais; BM &amp; F, que abrange a negociação, compensação e liquidação de derivativos financeiros e de mercadorias (commodities); Cetip Securities (Cetip UTVM), cobrindo os sistemas de registro, compensação, liquidação e custódia de títulos de renda fixa e derivados OTC e Cetip Financing (Cetip UFIN), que fornece um sistema eletrônico privado integrado para registro de empréstimos de veículos e imóveis.</v>
    <v>BVMF</v>
    <v>14.07</v>
    <v>2135</v>
    <v>45850</v>
    <v>562</v>
    <v>35464540</v>
    <v>BRL</v>
    <v>B3 S.A - Brasil, Bolsa, Balcão</v>
    <v>B3 S.A - Brasil, Bolsa, Balcão</v>
    <v>13.99</v>
    <v>13.71</v>
    <v>Praca Antonio Prado, 48 7 andar, Centro, SAO PAULO, SAO PAULO, 01.010-901 BR</v>
    <v>Investment Banking &amp; Investment Services</v>
    <v>B3SA3</v>
    <v>Ações</v>
    <v>B3 S.A - Brasil, Bolsa, Balcão (BVMF:B3SA3)</v>
    <v>-0.36</v>
    <v>-2.5586000000000001E-2</v>
    <v>24753200</v>
  </rv>
  <rv s="2">
    <v>563</v>
  </rv>
  <rv s="0">
    <v>https://www.bing.com/financeapi/forcetrigger?t=c33rbh&amp;q=BVMF%3aKRSA3&amp;form=skydnc</v>
    <v>Learn more on Bing</v>
  </rv>
  <rv s="7">
    <v>pt-BR</v>
    <v>c33rbh</v>
    <v>268435456</v>
    <v>1</v>
    <v>Da plataforma Refinitiv</v>
    <v>10</v>
    <v>11</v>
    <v>Kora Saúde Participações S.A. (BVMF:KRSA3)</v>
    <v>12</v>
    <v>13</v>
    <v>Finance</v>
    <v>5</v>
    <v>10</v>
    <v>4.17</v>
    <v>BVMF</v>
    <v>77334810</v>
    <v>8.8800000000000008</v>
    <v>2011</v>
    <v>8.8699999999999992</v>
    <v>0.82779999999999998</v>
    <v>B3 - Brazil Stock Exchange</v>
    <v>685959764</v>
    <v>A Kora Saude Participacoes SA é uma rede hospitalar sediada no Brasil. Com presença na gestão de leitos em cinco estados (Espírito Santo, Mato Grosso, Tocantins, Goiânia e Ceará) e nas cidades satélites do Distrito Federal, a Companhia também opera um parque na oferta de serviços de apoio diagnóstico e terapêutico, incluindo oncologia, análises clínicas, radiologia, hemodinâmica e outros. A Companhia conta com projetos de expansão de hospitais (brownfields) e construção de hospitais (greenfields). A grande maioria dos profissionais que prestam serviços nos hospitais da Companhia são independentes.</v>
    <v>BVMF</v>
    <v>8.8800000000000008</v>
    <v>4500</v>
    <v>45761.947916666664</v>
    <v>565</v>
    <v>BRL</v>
    <v>Kora Saúde Participações S.A.</v>
    <v>Kora Saúde Participações S.A.</v>
    <v>8.8800000000000008</v>
    <v>8.8699999999999992</v>
    <v>Avenida Desembargador Santos Neves n 207, Santa Lucia, VITORIA, ESPIRITO SANTO, 29.056-055 BR</v>
    <v>Healthcare Providers &amp; Services</v>
    <v>KRSA3</v>
    <v>Ações</v>
    <v>Kora Saúde Participações S.A. (BVMF:KRSA3)</v>
    <v>0</v>
    <v>0</v>
    <v>20000</v>
  </rv>
  <rv s="2">
    <v>566</v>
  </rv>
  <rv s="0">
    <v>https://www.bing.com/financeapi/forcetrigger?t=apm2pr&amp;q=BVMF%3aBOBR4&amp;form=skydnc</v>
    <v>Learn more on Bing</v>
  </rv>
  <rv s="8">
    <v>pt-BR</v>
    <v>apm2pr</v>
    <v>268435456</v>
    <v>1</v>
    <v>Da plataforma Refinitiv</v>
    <v>14</v>
    <v>15</v>
    <v>BOMBRIL S.A. (BVMF:BOBR4)</v>
    <v>12</v>
    <v>16</v>
    <v>Finance</v>
    <v>5</v>
    <v>3.06</v>
    <v>1.46</v>
    <v>BVMF</v>
    <v>260509800</v>
    <v>1.57</v>
    <v>1948</v>
    <v>1.55</v>
    <v>0.87960000000000005</v>
    <v>B3 - Brazil Stock Exchange</v>
    <v>409000386</v>
    <v>A Bombril SA, anteriormente conhecida como Bombril Cirio SA, é uma empresa brasileira envolvida na indústria de produtos de higiene e limpeza. A empresa fornece fabrica e comercializa uma gama de produtos para consumo doméstico e industrial, tais como lãs de aço, detergentes líquidos, pó de limpeza, desinfetantes, limpadores, detergentes, detergentes, produtos de limpeza, produtos de limpeza, produtos de limpeza, etc. produtos de sabão, amaciadores, esponjas sintéticas, líquido de lavanderia, sachets perfumados, e purificadores de ar, entre outros. A empresa oferece produtos sob várias marcas, incluindo Bombril, Limpol, Sapolio Radium, Pinho Bril, pratice, Tanto, Mon Bijou e Lysoform, entre outros. Por meio de suas subsidiárias, a Companhia atua no comércio por grosso de cosméticos, artigos de perfumaria e produtos de cuidados pessoais, bem como no setor imobiliário.</v>
    <v>BVMF</v>
    <v>1.56</v>
    <v>2911</v>
    <v>45850</v>
    <v>568</v>
    <v>6950</v>
    <v>BRL</v>
    <v>BOMBRIL S.A.</v>
    <v>BOMBRIL S.A.</v>
    <v>1.55</v>
    <v>1.57</v>
    <v>Via Anchieta, KM 14,S/N, Rudge Ramos, SAO BERNARDO DO CAMPO, SAO PAULO, 09.696-000 BR</v>
    <v>Personal &amp; Household Products &amp; Services</v>
    <v>BOBR4</v>
    <v>Ações</v>
    <v>BOMBRIL S.A. (BVMF:BOBR4)</v>
    <v>0.01</v>
    <v>6.4099999999999999E-3</v>
    <v>1100</v>
  </rv>
  <rv s="2">
    <v>569</v>
  </rv>
  <rv s="0">
    <v>https://www.bing.com/financeapi/forcetrigger?t=apmivh&amp;q=BVMF%3aETER3&amp;form=skydnc</v>
    <v>Learn more on Bing</v>
  </rv>
  <rv s="8">
    <v>pt-BR</v>
    <v>apmivh</v>
    <v>268435456</v>
    <v>1</v>
    <v>Da plataforma Refinitiv</v>
    <v>14</v>
    <v>15</v>
    <v>Eternit S.A. - Em Recuperação Judicial (BVMF:ETER3)</v>
    <v>12</v>
    <v>17</v>
    <v>Finance</v>
    <v>5</v>
    <v>7.03</v>
    <v>3.83</v>
    <v>BVMF</v>
    <v>61776580</v>
    <v>3.95</v>
    <v>1940</v>
    <v>3.88</v>
    <v>1.8535999999999999</v>
    <v>B3 - Brazil Stock Exchange</v>
    <v>241546427</v>
    <v>A Eternit SA em Recuperacao Judicial, anteriormente Industrias Eternit SA é uma empresa brasileira com atividades no setor de coberturas. O objetivo da empresa é desenvolver e fabricar produtos e soluções para a indústria da construção civil. O portfólio de produtos da Eternit inclui materiais de cobertura (painéis de cobertura de fibrocimento e telhas de concreto), soluções de construção (painéis de revestimento de cimento, painéis de revestimento de parede, linha pratic), solar (telhas fotovoltaicas e folha solar), bem como acessórios (fita adesiva multiusos etertape, lã de rocha e membrana à prova d'água eternit). As unidades de produção da Companhia estão distribuídas em todas as regiões do Brasil e estão localizadas em cidades como Colombo no Paraná, Hortolandia em São Paulo, Rio de Janeiro e Simoes Filho na Bahia.</v>
    <v>BVMF</v>
    <v>3.91</v>
    <v>631</v>
    <v>45849.8368060875</v>
    <v>571</v>
    <v>94590</v>
    <v>BRL</v>
    <v>Eternit S.A. - Em Recuperação Judicial</v>
    <v>Eternit S.A. - Em Recuperação Judicial</v>
    <v>3.95</v>
    <v>3.91</v>
    <v>Rua Dr. Fernandes Coelho, 85, 8 andar, Pinheiros, SAO PAULO, SAO PAULO, 05.423-040 BR</v>
    <v>Construction Materials</v>
    <v>ETER3</v>
    <v>Ações</v>
    <v>Eternit S.A. - Em Recuperação Judicial (BVMF:ETER3)</v>
    <v>0</v>
    <v>0</v>
    <v>53400</v>
  </rv>
  <rv s="2">
    <v>572</v>
  </rv>
  <rv s="0">
    <v>https://www.bing.com/financeapi/forcetrigger?t=bxgbu2&amp;q=BVMF%3aESPA3&amp;form=skydnc</v>
    <v>Learn more on Bing</v>
  </rv>
  <rv s="8">
    <v>pt-BR</v>
    <v>bxgbu2</v>
    <v>268435456</v>
    <v>1</v>
    <v>Da plataforma Refinitiv</v>
    <v>14</v>
    <v>15</v>
    <v>MPM Corpóreos S.A. (BVMF:ESPA3)</v>
    <v>12</v>
    <v>17</v>
    <v>Finance</v>
    <v>5</v>
    <v>1.23</v>
    <v>0.66</v>
    <v>BVMF</v>
    <v>361423100</v>
    <v>1.17</v>
    <v>2016</v>
    <v>1.1200000000000001</v>
    <v>1.6004</v>
    <v>B3 - Brazil Stock Exchange</v>
    <v>404793872</v>
    <v>A MPM Corporeos SA é uma provedora de serviços de cuidados pessoais com sede no Brasil. A Companhia atua principalmente no setor de depilação a laser, atendendo clientes em lojas próprias e franqueadas em todos os estados brasileiros com a marca Espacolaser e na Argentina com a marca Definit. A sua oferta dirige-se a mulheres e homens e inclui a depilação de 35 e 29 zonas do corpo, respetivamente. Além disso, por meio da marca Estudioface, o Escritório oferece serviços e tratamentos de estética facial, como injeções de toxina botulínica (botox), outros preenchimentos, tratamentos faciais a laser e peelings, entre outros.</v>
    <v>BVMF</v>
    <v>1.17</v>
    <v>3038</v>
    <v>45849.837500068752</v>
    <v>574</v>
    <v>407830</v>
    <v>BRL</v>
    <v>MPM Corpóreos S.A.</v>
    <v>MPM Corpóreos S.A.</v>
    <v>1.17</v>
    <v>1.1200000000000001</v>
    <v>Avenida dos Eucaliptos, no 763 sala 2, Indianopolis, Sao Paulo, SAO PAULO, 04.517-050 BR</v>
    <v>Personal &amp; Household Products &amp; Services</v>
    <v>ESPA3</v>
    <v>Ações</v>
    <v>MPM Corpóreos S.A. (BVMF:ESPA3)</v>
    <v>-0.05</v>
    <v>-4.2735000000000002E-2</v>
    <v>217700</v>
  </rv>
  <rv s="2">
    <v>575</v>
  </rv>
  <rv s="0">
    <v>https://www.bing.com/financeapi/forcetrigger?t=c1o4r7&amp;q=BVMF%3aMATD3&amp;form=skydnc</v>
    <v>Learn more on Bing</v>
  </rv>
  <rv s="8">
    <v>pt-BR</v>
    <v>c1o4r7</v>
    <v>268435456</v>
    <v>1</v>
    <v>Da plataforma Refinitiv</v>
    <v>14</v>
    <v>15</v>
    <v>Hospital Mater Dei S.A. (BVMF:MATD3)</v>
    <v>12</v>
    <v>17</v>
    <v>Finance</v>
    <v>5</v>
    <v>5.1100000000000003</v>
    <v>3.3</v>
    <v>BVMF</v>
    <v>339428000</v>
    <v>4.68</v>
    <v>1973</v>
    <v>4.46</v>
    <v>1.5668</v>
    <v>B3 - Brazil Stock Exchange</v>
    <v>1554580000</v>
    <v>A Hospital Mater Dei SA é uma companhia sediada no Brasil que faz parte da Rede Mater Dei de Saúde, uma plataforma integrada na prestação de serviços hospitalares e oncológicos, uma das maiores rede hospitalares de Minas Gerais em número de leitos privados, com atuação também nos estados da Bahia, Pará e Goiás. A Companhia possui leitos hospitalares distribuídos em suas quatro unidades localizadas estrategicamente na região metropolitana de Belo Horizonte e em Belém, além de leitos no Hospital de Salvador/BA, Hospital Santa Genoveva em Uberlândia/MG, Hospital Premium em Goiânia/GO e no Hospital EMEC em Feira de Santana/BA. A Companhia presta serviços para diversas operadoras de planos de saúde independentes e autogestões, tais como: Allianz, Amil, Bacen, Bradesco Saúde, Caixa Econômica Federal, Care Plus, Cassi, Copass, FCA Saúde, Golden Cross, IPSM, Sul América, Vale, entre diversos outros.</v>
    <v>BVMF</v>
    <v>4.5599999999999996</v>
    <v>3677</v>
    <v>45849.908680555556</v>
    <v>577</v>
    <v>260350</v>
    <v>BRL</v>
    <v>Hospital Mater Dei S.A.</v>
    <v>Hospital Mater Dei S.A.</v>
    <v>4.55</v>
    <v>4.58</v>
    <v>R Mato Grosso 1100, Santo Agostinho, BELO HORIZONTE, MINAS GERAIS, 30.190-081 BR</v>
    <v>Healthcare Providers &amp; Services</v>
    <v>MATD3</v>
    <v>Ações</v>
    <v>Hospital Mater Dei S.A. (BVMF:MATD3)</v>
    <v>0.02</v>
    <v>4.3860000000000001E-3</v>
    <v>147900</v>
  </rv>
  <rv s="2">
    <v>578</v>
  </rv>
  <rv s="0">
    <v>https://www.bing.com/financeapi/forcetrigger?t=c2vma2&amp;q=BVMF%3aTRAD3&amp;form=skydnc</v>
    <v>Learn more on Bing</v>
  </rv>
  <rv s="8">
    <v>pt-BR</v>
    <v>c2vma2</v>
    <v>268435456</v>
    <v>1</v>
    <v>Da plataforma Refinitiv</v>
    <v>14</v>
    <v>15</v>
    <v>TC S.A. (BVMF:TRAD3)</v>
    <v>12</v>
    <v>17</v>
    <v>Finance</v>
    <v>5</v>
    <v>9.4499999999999993</v>
    <v>2.42</v>
    <v>BVMF</v>
    <v>40021020</v>
    <v>7.72</v>
    <v>2016</v>
    <v>7.38</v>
    <v>0.54490000000000005</v>
    <v>B3 - Brazil Stock Exchange</v>
    <v>295755300</v>
    <v>A TC SA, anteriormente conhecida como Tc Traders Club SA, é uma empresa sediada no Brasil que oferece uma plataforma para educação financeira, análise de dados e inteligência de mercado. A principal missão da Companhia é democratizar o mercado financeiro, oferecendo uma plataforma completa para investidores, com espaço para discussões e ideias de investimento, apoiada por dados em tempo real, conteúdo educacional dedicado e ferramentas analíticas adequadas, beneficiando do potencial da tecnologia, pela mudança estrutural do mercado de investimento financeiro e alavancada pelo poder do efeito da rede. O aplicativo móvel TC pode ser baixado gratuitamente na App Store e no Google Play. A Companhia possui diversas subsidiárias, incluindo a Economatica Software de Apoio a Investidores Ltda, e a Pandhora Investimentos Ltda.</v>
    <v>BVMF</v>
    <v>7.78</v>
    <v>179</v>
    <v>45849.836805948435</v>
    <v>580</v>
    <v>29010</v>
    <v>BRL</v>
    <v>TC S.A.</v>
    <v>TC S.A.</v>
    <v>7.72</v>
    <v>7.39</v>
    <v>Avenida Presidente Juscelino Kubitschek, n 1830 Torre2, 5 andar,cj52, Vila Nova Conceicao, SAO PAULO, SAO PAULO, 04.543-900 BR</v>
    <v>Professional &amp; Business Education</v>
    <v>TRAD3</v>
    <v>Ações</v>
    <v>TC S.A. (BVMF:TRAD3)</v>
    <v>-0.39</v>
    <v>-5.0129E-2</v>
    <v>15000</v>
  </rv>
  <rv s="2">
    <v>581</v>
  </rv>
  <rv s="0">
    <v>https://www.bing.com/financeapi/forcetrigger?t=apnl4c&amp;q=BVMF%3aVULC3&amp;form=skydnc</v>
    <v>Learn more on Bing</v>
  </rv>
  <rv s="8">
    <v>pt-BR</v>
    <v>apnl4c</v>
    <v>268435456</v>
    <v>1</v>
    <v>Da plataforma Refinitiv</v>
    <v>14</v>
    <v>15</v>
    <v>Vulcabras S/A (BVMF:VULC3)</v>
    <v>12</v>
    <v>16</v>
    <v>Finance</v>
    <v>5</v>
    <v>21.98</v>
    <v>13.67</v>
    <v>BVMF</v>
    <v>275536300</v>
    <v>20.59</v>
    <v>1952</v>
    <v>20.170000000000002</v>
    <v>0.8901</v>
    <v>B3 - Brazil Stock Exchange</v>
    <v>5565833260</v>
    <v>Vulcabras S/A, antiga Vulcabras Azaleia S/A é uma empresa brasileira de calçados, especializada em calçados esportivos. A Companhia se reporta como um segmento operacional: Produção e comercialização de calçados esportivos. A Vulcabras opera principalmente através das marcas Olympikus, Under Armour, Mizuno e Botas Vulcabras. A Olympikus tem um amplo portfólio de produtos, com mais de 100 novos modelos e 150 itens de vestuário todos os anos. A Under Armour é uma marca global, fornecedora de vestuário, calçado e acessórios focados no desporto. Mizuno é uma marca japonesa que oferece aos atletas tecnologia avançada, fornecendo uma linha completa de produtos em várias modalidades, enquanto a Botas Vulcabras é fabricante de calçados para o setor industrial. Os produtos são feitos em duas fábricas modernas localizadas na região Nordeste, em Horizonte, Estado do Ceará e Itapetinga, estado da Bahia.</v>
    <v>BVMF</v>
    <v>20.54</v>
    <v>23878</v>
    <v>45850</v>
    <v>583</v>
    <v>459800</v>
    <v>BRL</v>
    <v>Vulcabras S/A</v>
    <v>Vulcabras S/A</v>
    <v>20.54</v>
    <v>20.2</v>
    <v>Av. Antonio Frederico Ozanan, 1440, Da Grama, JUNDIAI, SAO PAULO, 13.219-001 BR</v>
    <v>Textiles &amp; Apparel</v>
    <v>VULC3</v>
    <v>Ações</v>
    <v>Vulcabras S/A (BVMF:VULC3)</v>
    <v>-0.34</v>
    <v>-1.6552999999999998E-2</v>
    <v>399100</v>
  </rv>
  <rv s="2">
    <v>584</v>
  </rv>
  <rv s="0">
    <v>https://www.bing.com/financeapi/forcetrigger?t=apmw4c&amp;q=BVMF%3aLUPA3&amp;form=skydnc</v>
    <v>Learn more on Bing</v>
  </rv>
  <rv s="8">
    <v>pt-BR</v>
    <v>apmw4c</v>
    <v>268435456</v>
    <v>1</v>
    <v>Da plataforma Refinitiv</v>
    <v>14</v>
    <v>15</v>
    <v>LUPATECH S.A (BVMF:LUPA3)</v>
    <v>12</v>
    <v>16</v>
    <v>Finance</v>
    <v>5</v>
    <v>2.09</v>
    <v>1.1299999999999999</v>
    <v>BVMF</v>
    <v>43716190</v>
    <v>1.21</v>
    <v>1980</v>
    <v>1.17</v>
    <v>1.8073999999999999</v>
    <v>B3 - Brazil Stock Exchange</v>
    <v>52022270</v>
    <v>A Lupatech S.A., antes Valmicro Indústria e Comércio de Válvulas S.A., é uma empresa com sede no Brasil principalmente dedicada à produção de equipamentos para o setor de petróleo e gás. La Compañía opera a través de dos segmentos comerciales: Productos y Servicios. No segmento de Productos, a Compañía participa na fabricação de cuerdas de anclajes para plataformas de aguas profundas; válvulas manuais e automáticas utilizadas na exploração, produção, transporte e refinamento de petróleo e cadena de hidrocarburo; equipo de terminación para pozos petroleros; sensores ópticos de fibra e compresores veículos de gás natural; revestimientos para tubos de perfuração e produção, válvulas industriais para la maquinaria química, farmacéutica, polpa e papel, alimentos e construção, entre otros. No segmento de Serviços, a Compañía ofrece servicios costa afuera, que inclui a limpeza, a reparação e a manutenção de poços de petróleo, assim como a intervenção, o revestimento, a inspeção de tubérculos e o alquiler de equipos.</v>
    <v>BVMF</v>
    <v>1.18</v>
    <v>448</v>
    <v>45850</v>
    <v>586</v>
    <v>30840</v>
    <v>BRL</v>
    <v>LUPATECH S.A</v>
    <v>LUPATECH S.A</v>
    <v>1.18</v>
    <v>1.19</v>
    <v>Rodovia Anhanguera, sentido interior/capital,KM 119, predio C, Distrito Industrial, NOVA ODESSA, SAO PAULO, 13.388-220 BR</v>
    <v>Machinery, Equipment &amp; Components</v>
    <v>LUPA3</v>
    <v>Ações</v>
    <v>LUPATECH S.A (BVMF:LUPA3)</v>
    <v>0.01</v>
    <v>8.4749999999999999E-3</v>
    <v>92000</v>
  </rv>
  <rv s="2">
    <v>587</v>
  </rv>
  <rv s="0">
    <v>https://www.bing.com/financeapi/forcetrigger?t=apmg77&amp;q=BVMF%3aECOR3&amp;form=skydnc</v>
    <v>Learn more on Bing</v>
  </rv>
  <rv s="8">
    <v>pt-BR</v>
    <v>apmg77</v>
    <v>268435456</v>
    <v>1</v>
    <v>Da plataforma Refinitiv</v>
    <v>14</v>
    <v>15</v>
    <v>ECORODOVIAS INFRAESTRUTURA E LOGÍSTICA S.A. (BVMF:ECOR3)</v>
    <v>12</v>
    <v>16</v>
    <v>Finance</v>
    <v>5</v>
    <v>8.2200000000000006</v>
    <v>3.97</v>
    <v>BVMF</v>
    <v>696334200</v>
    <v>7.03</v>
    <v>2000</v>
    <v>6.85</v>
    <v>1.6218999999999999</v>
    <v>B3 - Brazil Stock Exchange</v>
    <v>4811669322</v>
    <v>A ECORODOVIAS INFRAESTRUTURA E LOGÍSTICA S.A. é uma empresa estabelecida no Brasil, que atua principalmente na operação de rodovias. As atividades da empresa são divididas em três segmentos de negócios: concessões, logística e portos. A divisão de concessões concentra-se na gestão de pedágios de estradas que ligam portos localizados em Santos, Paranaguá e Rio Grande. A divisão de logística compreende as interconexões das concessões de estrada da empresa, que visam à integração de terminais logísticos modais, terminais portuários, terminais de ligação equipotencial, centros de distribuição, aduana e portos, e o fornecimento de serviços logísticos. A divisão de portos é responsável pelas operações portuárias, manuseio de cargas e armazenamento em terminal próprio, no Porto de Santos. A empresa conta com várias subsidiárias, como a EcoRodovias Concessões e Serviços S.A., Ecoporto Santos S.A. e Elog S.A. É controlada pela Primav Construções e Comércio S.A.</v>
    <v>BVMF</v>
    <v>7</v>
    <v>5821</v>
    <v>45850</v>
    <v>589</v>
    <v>3345600</v>
    <v>BRL</v>
    <v>ECORODOVIAS INFRAESTRUTURA E LOGÍSTICA S.A.</v>
    <v>ECORODOVIAS INFRAESTRUTURA E LOGÍSTICA S.A.</v>
    <v>6.95</v>
    <v>6.91</v>
    <v>Rua Gomes de Carvalho, n 1.510, Conjuntos 31/32, Vila Olimpia, SAO PAULO, SAO PAULO, 04.547-005 BR</v>
    <v>Transport Infrastructure</v>
    <v>ECOR3</v>
    <v>Ações</v>
    <v>ECORODOVIAS INFRAESTRUTURA E LOGÍSTICA S.A. (BVMF:ECOR3)</v>
    <v>-0.09</v>
    <v>-1.2857E-2</v>
    <v>2481100</v>
  </rv>
  <rv s="2">
    <v>590</v>
  </rv>
  <rv s="0">
    <v>https://www.bing.com/financeapi/forcetrigger?t=apn452&amp;q=BVMF%3aPDGR3&amp;form=skydnc</v>
    <v>Learn more on Bing</v>
  </rv>
  <rv s="9">
    <v>pt-BR</v>
    <v>apn452</v>
    <v>268435456</v>
    <v>1</v>
    <v>Da plataforma Refinitiv</v>
    <v>18</v>
    <v>19</v>
    <v>PDG Realty S.A. Empreendimentos e Participações (BVMF:PDGR3)</v>
    <v>12</v>
    <v>27</v>
    <v>Finance</v>
    <v>5</v>
    <v>32.5</v>
    <v>0.22</v>
    <v>BVMF</v>
    <v>29691030</v>
    <v>0.25</v>
    <v>1998</v>
    <v>0.23</v>
    <v>1.7412000000000001</v>
    <v>B3 - Brazil Stock Exchange</v>
    <v>7125847</v>
    <v>A PDG Realty S.A. Empreendimentos e Participações é uma empresa holding estabelecida no Brasil, que atua no mercado imobiliário. A principal atividade da empresa é ter participação em outras empresas que operam no setor imobiliário, como acionista, membro de consórcio ou por meio de outros tipos de investimentos. Através de suas subsidiárias, a empresa atua em planejamento, design, construção, comercialização e venda de propriedades imobiliárias, inclusive de apartamentos espaçosos, casas unifamiliares e escritórios. Além disso, dedica-se à compra e ao loteamento de terrenos. Em 31 de dezembro de 2011, as subsidiárias da empresa incluíam a Agre Empreendimentos Imobiliários S.A., CHL Desenvolvimento Imobiliário S.A., Goldfarb Incorporações e Construções S.A., Ecolife Butantã Empreendimentos Imobiliários S.A. e Amazon Empreendimentos Imobiliários Ltda., dentre outras.</v>
    <v>BVMF</v>
    <v>0.25</v>
    <v>45849.837500010937</v>
    <v>592</v>
    <v>2411170</v>
    <v>BRL</v>
    <v>PDG Realty S.A. Empreendimentos e Participações</v>
    <v>PDG Realty S.A. Empreendimentos e Participações</v>
    <v>0.25</v>
    <v>0.24</v>
    <v>Av. Dr. Cardoso de Melo 1855, 6 andar, Vila Olimpia, SAO PAULO, SAO PAULO, 04.548-005 BR</v>
    <v>Holding Companies</v>
    <v>PDGR3</v>
    <v>Ações</v>
    <v>PDG Realty S.A. Empreendimentos e Participações (BVMF:PDGR3)</v>
    <v>-0.01</v>
    <v>-0.04</v>
    <v>412000</v>
  </rv>
  <rv s="2">
    <v>593</v>
  </rv>
  <rv s="0">
    <v>https://www.bing.com/financeapi/forcetrigger?t=apmamw&amp;q=BVMF%3aCOCE5&amp;form=skydnc</v>
    <v>Learn more on Bing</v>
  </rv>
  <rv s="8">
    <v>pt-BR</v>
    <v>apmamw</v>
    <v>268435456</v>
    <v>1</v>
    <v>Da plataforma Refinitiv</v>
    <v>14</v>
    <v>15</v>
    <v>Companhia Energética do Ceará (BVMF:COCE5)</v>
    <v>12</v>
    <v>16</v>
    <v>Finance</v>
    <v>5</v>
    <v>30.9</v>
    <v>22.25</v>
    <v>BVMF</v>
    <v>77855300</v>
    <v>26.95</v>
    <v>1971</v>
    <v>26.82</v>
    <v>0.34339999999999998</v>
    <v>B3 - Brazil Stock Exchange</v>
    <v>2035211000</v>
    <v>A Companhia Energética do Ceara (Coelce) é uma empresa brasileira que atua no setor de energia elétrica. A Companhia tem por objetivo principal a distribuição de energia elétrica para consumo industrial, rural, público, comercial e residencial. A área de concessão da Companhia inclui o estado brasileiro do Ceará. Adicionalmente, a Coelce atua na pesquisa, estudos, planejamento, construção e exploração do sistema de distribuição de energia elétrica. As atividades da Companhia são regulamentadas pela Agência Nacional de Energia Elétrica (ANEEL). A Companhia é controlada pelo Grupo Endesa, por meio da Investluz SA. Em maio de 2014, a Enersis SA do Chile, uma unidade da subsidiária Endesa Latinoamerica SA da unidade Endesa SA da Enel Energy Europe Srl (Enel Energy), adquiriu 15.184% de participação da Coelce; após a aquisição da Enersis SA do Chile, detém 75.269% das ações da Companhia.</v>
    <v>BVMF</v>
    <v>26.95</v>
    <v>1928</v>
    <v>45850</v>
    <v>595</v>
    <v>8070</v>
    <v>BRL</v>
    <v>Companhia Energética do Ceará</v>
    <v>Companhia Energética do Ceará</v>
    <v>26.95</v>
    <v>26.82</v>
    <v>R Padre Valdevino 150, Centro, FORTALEZA, CEARA, 60.135-040 BR</v>
    <v>Electrical Utilities &amp; IPPs</v>
    <v>COCE5</v>
    <v>Ações</v>
    <v>Companhia Energética do Ceará (BVMF:COCE5)</v>
    <v>-0.13</v>
    <v>-4.8240000000000002E-3</v>
    <v>2400</v>
  </rv>
  <rv s="2">
    <v>596</v>
  </rv>
  <rv s="0">
    <v>https://www.bing.com/financeapi/forcetrigger?t=bskpw7&amp;q=BVMF%3aCEAB3&amp;form=skydnc</v>
    <v>Learn more on Bing</v>
  </rv>
  <rv s="8">
    <v>pt-BR</v>
    <v>bskpw7</v>
    <v>268435456</v>
    <v>1</v>
    <v>Da plataforma Refinitiv</v>
    <v>14</v>
    <v>15</v>
    <v>C&amp;A MODAS S.A. (BVMF:CEAB3)</v>
    <v>12</v>
    <v>17</v>
    <v>Finance</v>
    <v>5</v>
    <v>21.3</v>
    <v>7.3</v>
    <v>BVMF</v>
    <v>308245100</v>
    <v>18.61</v>
    <v>1981</v>
    <v>17.649999999999999</v>
    <v>2.0217999999999998</v>
    <v>B3 - Brazil Stock Exchange</v>
    <v>5440525000</v>
    <v>A C&amp;A Modas SA, anteriormente conhecida como C&amp;A Modas Ltda, é uma empresa de moda com sede no Brasil, que administra uma cadeia de lojas de varejo e um portal da Web. A Companhia vende uma variedade de produtos, como roupas, acessórios e calçados para homens, mulheres e crianças; cosméticos para homem e mulher; dispositivos eletrônicos, incluindo smartphones, notebooks, tablets e acessórios relacionados, entre outros. Sua oferta inclui também produtos de diferentes marcas que o cliente pode comprar também por meio de um aplicativo móvel.</v>
    <v>BVMF</v>
    <v>18.600000000000001</v>
    <v>15000</v>
    <v>45849.838748378905</v>
    <v>598</v>
    <v>3204160</v>
    <v>BRL</v>
    <v>C&amp;A MODAS S.A.</v>
    <v>C&amp;A MODAS S.A.</v>
    <v>18.5</v>
    <v>17.649999999999999</v>
    <v>Alameda Araguaia, 1.222/1.022, Alphaville, BARUERI, SAO PAULO, 06.455-000 BR</v>
    <v>Specialty Retailers</v>
    <v>CEAB3</v>
    <v>Ações</v>
    <v>C&amp;A MODAS S.A. (BVMF:CEAB3)</v>
    <v>-0.95</v>
    <v>-5.1075000000000002E-2</v>
    <v>2757100</v>
  </rv>
  <rv s="2">
    <v>599</v>
  </rv>
  <rv s="0">
    <v>https://www.bing.com/financeapi/forcetrigger?t=bv5ur7&amp;q=BVMF%3aAMBP3&amp;form=skydnc</v>
    <v>Learn more on Bing</v>
  </rv>
  <rv s="9">
    <v>pt-BR</v>
    <v>bv5ur7</v>
    <v>268435456</v>
    <v>1</v>
    <v>Da plataforma Refinitiv</v>
    <v>18</v>
    <v>19</v>
    <v>Ambipar Participações e Empreendimentos S.A. (BVMF:AMBP3)</v>
    <v>12</v>
    <v>27</v>
    <v>Finance</v>
    <v>5</v>
    <v>268.51</v>
    <v>17.38</v>
    <v>BVMF</v>
    <v>167041900</v>
    <v>162.13999999999999</v>
    <v>2010</v>
    <v>159.02000000000001</v>
    <v>1.5384</v>
    <v>B3 - Brazil Stock Exchange</v>
    <v>27084170000</v>
    <v>A Ambipar Participações e Empreendimentos SA é uma empresa brasileira que atua no setor de gestão ambiental. Atua por meio de Ambipar Ambiente e Resposta Ambipar. A Ambipar Meio Ambiente é especializada em soluções ambientais e terceirização de mão de obra. Oferece um portfólio de soluções customizadas que vão desde a geração, transporte, recuperação e destinação final de resíduos. A Ambipar Response é especializada na gestão de crises e no atendimento a emergências que afetem a saúde, o meio ambiente e o patrimônio. Possui bases de apoio a emergências nas Américas, Europa e África que funcionam 24 horas por dia, ininterruptamente. A Resposta Ambipar tem como foco a Prevenção para estabelecer medidas de proteção e resposta; Preparação, como treinamento de resposta envolvendo produtos químicos (HAZMAT), combate a incêndio, espaços confinados ou outros tipos de emergências, e Resposta especializada em serviços de emergência, com rápido tempo de resposta.</v>
    <v>BVMF</v>
    <v>160.35</v>
    <v>45849.84027780078</v>
    <v>601</v>
    <v>79590</v>
    <v>BRL</v>
    <v>Ambipar Participações e Empreendimentos S.A.</v>
    <v>Ambipar Participações e Empreendimentos S.A.</v>
    <v>161.5</v>
    <v>162.13999999999999</v>
    <v>Av Pacaembu 1088 Sala 09, Pacaembu, SAO PAULO, SAO PAULO, 01.234-000 BR</v>
    <v>Professional &amp; Commercial Services</v>
    <v>AMBP3</v>
    <v>Ações</v>
    <v>Ambipar Participações e Empreendimentos S.A. (BVMF:AMBP3)</v>
    <v>1.79</v>
    <v>1.1163000000000001E-2</v>
    <v>35400</v>
  </rv>
  <rv s="2">
    <v>602</v>
  </rv>
  <rv s="0">
    <v>https://www.bing.com/financeapi/forcetrigger?t=bwzurw&amp;q=BVMF%3aNGRD3&amp;form=skydnc</v>
    <v>Learn more on Bing</v>
  </rv>
  <rv s="8">
    <v>pt-BR</v>
    <v>bwzurw</v>
    <v>268435456</v>
    <v>1</v>
    <v>Da plataforma Refinitiv</v>
    <v>14</v>
    <v>15</v>
    <v>Neogrid Participações S.A (BVMF:NGRD3)</v>
    <v>12</v>
    <v>17</v>
    <v>Finance</v>
    <v>5</v>
    <v>35</v>
    <v>18.23</v>
    <v>BVMF</v>
    <v>9140940</v>
    <v>25.05</v>
    <v>2008</v>
    <v>24.14</v>
    <v>1.0789</v>
    <v>B3 - Brazil Stock Exchange</v>
    <v>223770300</v>
    <v>A Neogrid Participações SA (Neogrid) é uma empresa brasileira que atua no setor de tecnologia. A Empresa desenvolve softwares para gerenciamento e sincronização de cadeias de suprimentos, conectando fabricantes, distribuidores, operadores logísticos, varejistas, instituições financeiras e governo. Por meio da plataforma digital, a Firma oferece soluções para empresas de diversos segmentos, como agronegócio, bens de consumo, farmácia, eletroeletrônico, construção civil e moda, entre outros. Além disso, a Neogrid oferece assessoria técnica em TI, serviços de treinamento e suporte, instalação, configuração e manutenção de softwares e bancos de dados. A Companhia possui várias subsidiárias no Brasil, Holanda, Estados Unidos e Reino Unido.</v>
    <v>BVMF</v>
    <v>25</v>
    <v>719</v>
    <v>45849.836805751562</v>
    <v>604</v>
    <v>6600</v>
    <v>BRL</v>
    <v>Neogrid Participações S.A</v>
    <v>Neogrid Participações S.A</v>
    <v>25</v>
    <v>24.48</v>
    <v>Avenida Santos Dumont, 935 1 andar, Santo Antonio, Joinville, SANTA CATARINA, 89.218-105 BR</v>
    <v>Software &amp; IT Services</v>
    <v>NGRD3</v>
    <v>Ações</v>
    <v>Neogrid Participações S.A (BVMF:NGRD3)</v>
    <v>-0.52</v>
    <v>-2.0799999999999999E-2</v>
    <v>3600</v>
  </rv>
  <rv s="2">
    <v>605</v>
  </rv>
  <rv s="0">
    <v>https://www.bing.com/financeapi/forcetrigger?t=apm6k2&amp;q=BVMF%3aCAML3&amp;form=skydnc</v>
    <v>Learn more on Bing</v>
  </rv>
  <rv s="8">
    <v>pt-BR</v>
    <v>apm6k2</v>
    <v>268435456</v>
    <v>1</v>
    <v>Da plataforma Refinitiv</v>
    <v>14</v>
    <v>15</v>
    <v>CAMIL ALIMENTOS S.A. (BVMF:CAML3)</v>
    <v>12</v>
    <v>17</v>
    <v>Finance</v>
    <v>5</v>
    <v>9.6300000000000008</v>
    <v>3.38</v>
    <v>BVMF</v>
    <v>350000000</v>
    <v>5.18</v>
    <v>1990</v>
    <v>5.04</v>
    <v>0.35649999999999998</v>
    <v>B3 - Brazil Stock Exchange</v>
    <v>1799000000</v>
    <v>A Camil Alimentos SA é uma empresa sediada no Brasil e dedica-se principalmente ao setor de processamento de alimentos. A Companhia tem como foco a fabricação e comercialização de arroz, bolacha de arroz, feijão, ervilha, grão de bico e sementes de lentilha, farelo de soja, pipoca, açúcar e frutos do mar, entre outros. Os produtos da Companhia são distribuídos sob várias marcas, incluindo Camil, Pescador, Coqueiro, União, Barra, Dolce, Namorado, Butui, Bonzao, Neve e Ducula no Brasil; Saman no Uruguai; Tucapel no Chile, bem como Costeno e Paisana no Peru. A Companhia opera unidades de processamento de grãos, fábricas de processamento de pescado e usinas de açúcar. A Companhia controla diversas subsidiárias, como a Camil Internacional Argentina SA, a Carreteiro Indústria e Comércio de Alimentos Ltda e a Ciclo Logística Ltda.</v>
    <v>BVMF</v>
    <v>5.18</v>
    <v>7000</v>
    <v>45849.83819481406</v>
    <v>607</v>
    <v>813390</v>
    <v>BRL</v>
    <v>CAMIL ALIMENTOS S.A.</v>
    <v>CAMIL ALIMENTOS S.A.</v>
    <v>5.18</v>
    <v>5.14</v>
    <v>Av. Doutora Ruth Cardoso 8501, 12 andar, Pinheiros, Eldorado Business Tower, SAO PAULO, SAO PAULO, 05.425-070 BR</v>
    <v>Food &amp; Tobacco</v>
    <v>CAML3</v>
    <v>Ações</v>
    <v>CAMIL ALIMENTOS S.A. (BVMF:CAML3)</v>
    <v>-0.04</v>
    <v>-7.7219999999999997E-3</v>
    <v>785900</v>
  </rv>
  <rv s="2">
    <v>608</v>
  </rv>
  <rv s="0">
    <v>https://www.bing.com/financeapi/forcetrigger?t=apml3m&amp;q=BVMF%3aTASA3&amp;form=skydnc</v>
    <v>Learn more on Bing</v>
  </rv>
  <rv s="8">
    <v>pt-BR</v>
    <v>apml3m</v>
    <v>268435456</v>
    <v>1</v>
    <v>Da plataforma Refinitiv</v>
    <v>14</v>
    <v>15</v>
    <v>Taurus Armas S.A (BVMF:TASA3)</v>
    <v>12</v>
    <v>17</v>
    <v>Finance</v>
    <v>5</v>
    <v>11.42</v>
    <v>7.01</v>
    <v>BVMF</v>
    <v>139297900</v>
    <v>7.44</v>
    <v>1939</v>
    <v>7.1</v>
    <v>1.1708000000000001</v>
    <v>B3 - Brazil Stock Exchange</v>
    <v>923880700</v>
    <v>A Taurus Armas SA, anteriormente conhecida como Forjas Taurus SA, é uma empresa sediada no Brasil e tem como atividade principal a produção de armas curtas. A Companhia divide seus segmentos operacionais em armas, capacetes e outros. O segmento de armas fabrica e distribui revólveres, pistolas civis e militares e munições, bem como peças de metal personalizadas, como peças de motocicletas. O segmento de capacetes está envolvido na produção de capacetes para motociclistas. O segmento outros inclui a fabricação e comercialização de vidros, produtos plásticos injetados, como recipientes para resíduos, ferramentas para construção, mecânica e jardinagem e Metal Injection Moulding (MIM), utilizados em diversos setores, como automotivo, eletrônico ou petrolífero, entre outros. A Companhia, em conjunto com suas subsidiárias, opera múltiplas unidades fabris localizadas no estado brasileiro do Rio Grande do Sul, no estado do Paraná, no estado da Bahia e nos Estados Unidos.</v>
    <v>BVMF</v>
    <v>7.35</v>
    <v>3286</v>
    <v>45849.836806214844</v>
    <v>610</v>
    <v>257230</v>
    <v>BRL</v>
    <v>Taurus Armas S.A</v>
    <v>Taurus Armas S.A</v>
    <v>7.44</v>
    <v>7.12</v>
    <v>Avenida Sao Borja 2181/Predio A, Fazenda Sao Borja, SAO LEOPOLDO, RIO GRANDE DO SUL, 93.035-411 BR</v>
    <v>Aerospace &amp; Defense</v>
    <v>TASA3</v>
    <v>Ações</v>
    <v>Taurus Armas S.A (BVMF:TASA3)</v>
    <v>-0.23</v>
    <v>-3.1293000000000001E-2</v>
    <v>11200</v>
  </rv>
  <rv s="2">
    <v>611</v>
  </rv>
  <rv s="0">
    <v>https://www.bing.com/financeapi/forcetrigger?t=bpryr7&amp;q=BVMF%3aSBFG3&amp;form=skydnc</v>
    <v>Learn more on Bing</v>
  </rv>
  <rv s="8">
    <v>pt-BR</v>
    <v>bpryr7</v>
    <v>268435456</v>
    <v>1</v>
    <v>Da plataforma Refinitiv</v>
    <v>14</v>
    <v>15</v>
    <v>GRUPO SBF S.A. (BVMF:SBFG3)</v>
    <v>12</v>
    <v>17</v>
    <v>Finance</v>
    <v>5</v>
    <v>17.91</v>
    <v>8.92</v>
    <v>BVMF</v>
    <v>244013000</v>
    <v>12.2</v>
    <v>2011</v>
    <v>11.86</v>
    <v>2.2008999999999999</v>
    <v>B3 - Brazil Stock Exchange</v>
    <v>2928156000</v>
    <v>O Grupo SBF SA é uma empresa sediada no Brasil que atua no setor de vestuário e vestuário. A empresa é especializada no varejo de roupas através de uma rede de lojas, bem como através do seu site na Internet. A Companhia oferece diferentes tipos de produtos dividindo-os em: esportes, homens, mulheres, crianças, calçados, acessórios, equipamentos e suplementos, entre outros. A Companhia também oferece seus produtos outlet, em uma seção especial onde oferece produtos antigos com desconto no preço. É vendido em mais de 180 lojas em regiões como Espírito Santo, São Paulo, Amazonas e Rio de Janeiro, dentro do território brasileiro. Também opera um serviço de personal trainer on-line chamado Bora.</v>
    <v>BVMF</v>
    <v>12.16</v>
    <v>8196</v>
    <v>45849.838194860939</v>
    <v>613</v>
    <v>1351130</v>
    <v>BRL</v>
    <v>GRUPO SBF S.A.</v>
    <v>GRUPO SBF S.A.</v>
    <v>12.05</v>
    <v>12</v>
    <v>Av Dra Ruth Cardoso 7221 Andar Ed Birman 3, Pinheiros, PINHEIROS, SAO PAULO, 05.425-902 BR</v>
    <v>Specialty Retailers</v>
    <v>SBFG3</v>
    <v>Ações</v>
    <v>GRUPO SBF S.A. (BVMF:SBFG3)</v>
    <v>-0.16</v>
    <v>-1.3158000000000001E-2</v>
    <v>2199000</v>
  </rv>
  <rv s="2">
    <v>614</v>
  </rv>
  <rv s="0">
    <v>https://www.bing.com/financeapi/forcetrigger?t=apnfbh&amp;q=BVMF%3aTECN3&amp;form=skydnc</v>
    <v>Learn more on Bing</v>
  </rv>
  <rv s="8">
    <v>pt-BR</v>
    <v>apnfbh</v>
    <v>268435456</v>
    <v>1</v>
    <v>Da plataforma Refinitiv</v>
    <v>14</v>
    <v>15</v>
    <v>TECHNOS S.A. (BVMF:TECN3)</v>
    <v>12</v>
    <v>17</v>
    <v>Finance</v>
    <v>5</v>
    <v>7.26</v>
    <v>4.46</v>
    <v>BVMF</v>
    <v>61856210</v>
    <v>6.44</v>
    <v>2007</v>
    <v>6.35</v>
    <v>0.87350000000000005</v>
    <v>B3 - Brazil Stock Exchange</v>
    <v>393405495</v>
    <v>A TECHNOS S.A., anteriormente GMT Participações S.A., é uma empresa brasileira que se dedica à fabricação e comercialização de relógios. Através de sua subsidiária Technos da Amazônia Indústria e Comércio S.A., a empresa produz e vende relógios sob as marcas Technos e Mariner. Também possui uma licença para fabricação de relógios de pulso sob as marcas Mormaii, Seiko e Euro. A empresa opera uma fábrica industrial localizada na Zona Franca de Manaus, no estado brasileiro do Amazonas. A TECHNOS S.A. distribui seus produtos no Brasil por meio de uma rede de lojas e centros de serviço. Em 31 de dezembro de 2011, o acionista majoritário da empresa era o Fundo de Investimento e Participações GMT, que detinha uma participação de 58,38% na TECHNOS S.A.</v>
    <v>BVMF</v>
    <v>6.44</v>
    <v>900</v>
    <v>45849.837500439062</v>
    <v>616</v>
    <v>144570</v>
    <v>BRL</v>
    <v>TECHNOS S.A.</v>
    <v>TECHNOS S.A.</v>
    <v>6.4</v>
    <v>6.36</v>
    <v>Avenida Das Americas, 4200 - Bloco 5 - 6 Andar, Barra Da Tijuca, RIO DE JANEIRO, RIO DE JANEIRO, 22.640-907 BR</v>
    <v>Specialty Retailers</v>
    <v>TECN3</v>
    <v>Ações</v>
    <v>TECHNOS S.A. (BVMF:TECN3)</v>
    <v>-0.08</v>
    <v>-1.2421999999999999E-2</v>
    <v>23000</v>
  </rv>
  <rv s="2">
    <v>617</v>
  </rv>
  <rv s="0">
    <v>https://www.bing.com/financeapi/forcetrigger?t=apncxm&amp;q=BVMF%3aSMTO3&amp;form=skydnc</v>
    <v>Learn more on Bing</v>
  </rv>
  <rv s="8">
    <v>pt-BR</v>
    <v>apncxm</v>
    <v>268435456</v>
    <v>1</v>
    <v>Da plataforma Refinitiv</v>
    <v>14</v>
    <v>15</v>
    <v>São Martinho S.A. (BVMF:SMTO3)</v>
    <v>12</v>
    <v>17</v>
    <v>Finance</v>
    <v>5</v>
    <v>32.450000000000003</v>
    <v>16.940000000000001</v>
    <v>BVMF</v>
    <v>332435400</v>
    <v>17.27</v>
    <v>1943</v>
    <v>16.940000000000001</v>
    <v>0.35110000000000002</v>
    <v>B3 - Brazil Stock Exchange</v>
    <v>5694618000</v>
    <v>São Martinho SA é uma empresa brasileira de açúcar e energia. As operações da Companhia incluem a produção e comercialização de açúcar, etanol, eletricidade e outros produtos da cana-de-açúcar. As operações da São Martinho SA compreendem quatro fábricas: São Martinho, Santa Cruz e Iracema, bem como Boa Vista. O portfólio da empresa inclui vários tipos de açúcar, incluindo açúcar branco, de polaridade muito alta e muito alta polaridade (VHP e VHP). São Martinho SA produz etanol hidratado (para veículos movidos a etanol), etanol anidro (usado como aditivo de combustível) e etanol industrial para outros fins. Também gera eletricidade a partir do bagaço de cana-de-açúcar. A Companhia possui várias subsidiárias, incluindo a Sao Martinho Terras Agricolas SA, Sao Martinho Terras Imobiliarias SA, Bioenergia Sao Martinho Ltda e Bioenergética Santa Cruz SA.</v>
    <v>BVMF</v>
    <v>17.09</v>
    <v>7869</v>
    <v>45849.838194687502</v>
    <v>619</v>
    <v>1661020</v>
    <v>BRL</v>
    <v>São Martinho S.A.</v>
    <v>São Martinho S.A.</v>
    <v>17.079999999999998</v>
    <v>17.13</v>
    <v>Fazenda Sao Martinho, S/Nr., Zona Rural, PRADOPOLIS, SAO PAULO, 14.850-000 BR</v>
    <v>Food &amp; Tobacco</v>
    <v>SMTO3</v>
    <v>Ações</v>
    <v>São Martinho S.A. (BVMF:SMTO3)</v>
    <v>0.04</v>
    <v>2.3410000000000002E-3</v>
    <v>1445300</v>
  </rv>
  <rv s="2">
    <v>620</v>
  </rv>
  <rv s="0">
    <v>https://www.bing.com/financeapi/forcetrigger?t=apn852&amp;q=BVMF%3aRANI3&amp;form=skydnc</v>
    <v>Learn more on Bing</v>
  </rv>
  <rv s="8">
    <v>pt-BR</v>
    <v>apn852</v>
    <v>268435456</v>
    <v>1</v>
    <v>Da plataforma Refinitiv</v>
    <v>14</v>
    <v>15</v>
    <v>IRANI PAPEL E EMBALAGEM S.A. (BVMF:RANI3)</v>
    <v>12</v>
    <v>16</v>
    <v>Finance</v>
    <v>5</v>
    <v>8.4600000000000009</v>
    <v>5.97</v>
    <v>BVMF</v>
    <v>239829900</v>
    <v>7.31</v>
    <v>1941</v>
    <v>7.23</v>
    <v>0.59379999999999999</v>
    <v>B3 - Brazil Stock Exchange</v>
    <v>1750758270</v>
    <v>A Irani Papel e Embalagem SA, anteriormente conhecida como Celulose Irani SA, (Irani) é uma empresa brasileira que atua principalmente na indústria de papel. As atividades da Companhia estão divididas em três linhas de negócios: segmento Embalagem de Papelão Ondulado (Embalagem PO), que fabrica caixas e chapas de papelão ondulado; Segmento de Papel para Embalagem, que produz papéis Kraft de alta e baixa gramatura e papel reciclado; RS Segmento Florestal e Resinas, por meio do qual a Companhia cultiva pinus, comercializa madeira e produz resina extraída do pinus, que é utilizada como matéria-prima para a produção de alcatrão e terebintina. A Irani possui várias subsidiárias, como a Iraflor Comércio de Madeiras Ltda, a Irani Geração de Energia Sustentavel Ltda, a HGE Geração de Energia Sustentavel SA e a Hsul Florestal SA.</v>
    <v>BVMF</v>
    <v>7.29</v>
    <v>2348</v>
    <v>45850</v>
    <v>622</v>
    <v>702980</v>
    <v>BRL</v>
    <v>IRANI PAPEL E EMBALAGEM S.A.</v>
    <v>IRANI PAPEL E EMBALAGEM S.A.</v>
    <v>7.31</v>
    <v>7.3</v>
    <v>Avenida Carlos Gomes,n400, Edificio Joao Benjamin Zaffari, salas 502/503, Boa Vista, PORTO ALEGRE, RIO GRANDE DO SUL, 90.480-900 BR</v>
    <v>Containers &amp; Packaging</v>
    <v>RANI3</v>
    <v>Ações</v>
    <v>IRANI PAPEL E EMBALAGEM S.A. (BVMF:RANI3)</v>
    <v>0.01</v>
    <v>1.372E-3</v>
    <v>396800</v>
  </rv>
  <rv s="2">
    <v>623</v>
  </rv>
  <rv s="0">
    <v>https://www.bing.com/financeapi/forcetrigger?t=bvlnz2&amp;q=BVMF%3aPETZ3&amp;form=skydnc</v>
    <v>Learn more on Bing</v>
  </rv>
  <rv s="9">
    <v>pt-BR</v>
    <v>bvlnz2</v>
    <v>268435456</v>
    <v>1</v>
    <v>Da plataforma Refinitiv</v>
    <v>18</v>
    <v>19</v>
    <v>Pet Center Comércio e Participações S.A. (BVMF:PETZ3)</v>
    <v>12</v>
    <v>27</v>
    <v>Finance</v>
    <v>5</v>
    <v>5.57</v>
    <v>3.16</v>
    <v>BVMF</v>
    <v>462739900</v>
    <v>3.74</v>
    <v>2013</v>
    <v>3.63</v>
    <v>1.1952</v>
    <v>B3 - Brazil Stock Exchange</v>
    <v>1689000635</v>
    <v>A Pet Center Comércio e Participações SA é uma empresa brasileira que atua na indústria pet. A Empresa atua principalmente como revendedora de alimentos e insumos para animais de estimação, como brinquedos, camas, roupas, tigelas, maca, aquários, medicamentos e vitaminas, entre outros. Atua por meio de plataforma digital e lojas físicas, localizadas em 13 estados e no Distrito Federal. A Empresa também presta serviços veterinários em clínicas e hospitais, bem como serviços de higiene e estética animal em lojas. Além disso, a Firma organiza eventos relacionados a animais de estimação, como desfiles e concursos de moda, e promove adoções de cães e gatos. A Empresa é controlada pelo WP XI A Fundo de Investimento em Participações Multiestrategia.</v>
    <v>BVMF</v>
    <v>3.72</v>
    <v>45849.838673899998</v>
    <v>625</v>
    <v>4882360</v>
    <v>BRL</v>
    <v>Pet Center Comércio e Participações S.A.</v>
    <v>Pet Center Comércio e Participações S.A.</v>
    <v>3.74</v>
    <v>3.65</v>
    <v>Rua Guaranta, 555/587 Sala 1, Pari, SAO PAULO, SAO PAULO, 03.035-050 BR</v>
    <v>Specialty Retailers</v>
    <v>PETZ3</v>
    <v>Ações</v>
    <v>Pet Center Comércio e Participações S.A. (BVMF:PETZ3)</v>
    <v>-7.0000000000000007E-2</v>
    <v>-1.8817E-2</v>
    <v>2675900</v>
  </rv>
  <rv s="2">
    <v>626</v>
  </rv>
  <rv s="0">
    <v>https://www.bing.com/financeapi/forcetrigger?t=apnh77&amp;q=BVMF%3aTOTS3&amp;form=skydnc</v>
    <v>Learn more on Bing</v>
  </rv>
  <rv s="9">
    <v>pt-BR</v>
    <v>apnh77</v>
    <v>268435456</v>
    <v>1</v>
    <v>Da plataforma Refinitiv</v>
    <v>18</v>
    <v>19</v>
    <v>TOTVS S.A. (BVMF:TOTS3)</v>
    <v>12</v>
    <v>20</v>
    <v>Finance</v>
    <v>5</v>
    <v>43.97</v>
    <v>25.69</v>
    <v>BVMF</v>
    <v>599401600</v>
    <v>41.77</v>
    <v>1983</v>
    <v>40.99</v>
    <v>0.96099999999999997</v>
    <v>B3 - Brazil Stock Exchange</v>
    <v>24629410000</v>
    <v>A Totvs SA é uma empresa brasileira que atua no setor de tecnologia da informação (TI). A empresa tem como foco o desenvolvimento de soluções integradas de software de gestão, plataformas de colaboração e produtividade, bem como serviços de consultoria. A empresa fornece principalmente aplicativos de planejamento de recursos empresariais (ERP), que integram eletronicamente os níveis estratégicos e operacionais de uma empresa usuária. Oferece softwares ERP em diversas áreas, como administração, educação, finanças, industrial, recursos humanos, atendimento e logística. A Companhia atua no Brasil, Argentina, Colômbia, México, Portugal e Estados Unidos, entre outros. Controla uma série de subsidiárias, incluindo Solucoes em Software e Serviços TTS Ltda, Datasul Argentina SA e Neolog Consultoria e Sistemas SA.</v>
    <v>BVMF</v>
    <v>41.6</v>
    <v>45850</v>
    <v>628</v>
    <v>2347600</v>
    <v>BRL</v>
    <v>TOTVS S.A.</v>
    <v>TOTVS S.A.</v>
    <v>41.72</v>
    <v>41.09</v>
    <v>Avenida Braz Leme 1000, Casa Verde, SAO PAULO, SAO PAULO, 02.511-000 BR</v>
    <v>Software &amp; IT Services</v>
    <v>TOTS3</v>
    <v>Ações</v>
    <v>TOTVS S.A. (BVMF:TOTS3)</v>
    <v>-0.51</v>
    <v>-1.226E-2</v>
    <v>2369800</v>
  </rv>
  <rv s="2">
    <v>629</v>
  </rv>
  <rv s="0">
    <v>https://www.bing.com/financeapi/forcetrigger?t=apmipr&amp;q=BVMF%3aYDUQ3&amp;form=skydnc</v>
    <v>Learn more on Bing</v>
  </rv>
  <rv s="8">
    <v>pt-BR</v>
    <v>apmipr</v>
    <v>268435456</v>
    <v>1</v>
    <v>Da plataforma Refinitiv</v>
    <v>14</v>
    <v>15</v>
    <v>YDUQS Participações S.A. (BVMF:YDUQ3)</v>
    <v>12</v>
    <v>17</v>
    <v>Finance</v>
    <v>5</v>
    <v>17.8</v>
    <v>7.54</v>
    <v>BVMF</v>
    <v>274088800</v>
    <v>14.92</v>
    <v>2007</v>
    <v>13.78</v>
    <v>2.0617000000000001</v>
    <v>B3 - Brazil Stock Exchange</v>
    <v>3804352544</v>
    <v>A YDUQS Participações SA é uma empresa com sede no Brasil que se dedica à prestação de serviços educacionais. A empresa está focada no desenvolvimento de instituições de ensino superior. Sua gama de serviços abrange cursos presenciais e a distância com programas de pós-graduação e mestrado em administração de empresas (MBA), cursos profissionalizantes, preparatórios para exames, cursos de curta duração, além de treinamentos empresariais para profissionais, entre outros. Os cursos da Companhia oferecem desenvolvimento nas áreas jurídica, gestão, humanidades, saúde e tecnologia. Sua rede educacional é formada por universidades, campi, centros de ensino a distância e faculdades. A Companhia atua no Brasil por meio das marcas: Estácio, UniToledo, Adtalem (IBMEC, Wyden, Damasio Educacional, SJT Med e Clio).</v>
    <v>BVMF</v>
    <v>14.99</v>
    <v>16000</v>
    <v>45849.838684617971</v>
    <v>631</v>
    <v>2660340</v>
    <v>BRL</v>
    <v>YDUQS Participações S.A.</v>
    <v>YDUQS Participações S.A.</v>
    <v>14.92</v>
    <v>13.88</v>
    <v>Avenida Venezuela 43, 6 andar, Saude, RIO DE JANEIRO, RIO DE JANEIRO, 20.081-311 BR</v>
    <v>School, College &amp; University</v>
    <v>YDUQ3</v>
    <v>Ações</v>
    <v>YDUQS Participações S.A. (BVMF:YDUQ3)</v>
    <v>-1.1100000000000001</v>
    <v>-7.404899999999999E-2</v>
    <v>4897500</v>
  </rv>
  <rv s="2">
    <v>632</v>
  </rv>
  <rv s="0">
    <v>https://www.bing.com/financeapi/forcetrigger?t=bvs1lh&amp;q=BVMF%3aJSLG3&amp;form=skydnc</v>
    <v>Learn more on Bing</v>
  </rv>
  <rv s="8">
    <v>pt-BR</v>
    <v>bvs1lh</v>
    <v>268435456</v>
    <v>1</v>
    <v>Da plataforma Refinitiv</v>
    <v>14</v>
    <v>15</v>
    <v>JSL S.A. (BVMF:JSLG3)</v>
    <v>12</v>
    <v>16</v>
    <v>Finance</v>
    <v>5</v>
    <v>9.82</v>
    <v>5</v>
    <v>BVMF</v>
    <v>286431100</v>
    <v>5.82</v>
    <v>1969</v>
    <v>5.58</v>
    <v>1.4629000000000001</v>
    <v>B3 - Brazil Stock Exchange</v>
    <v>1612607000</v>
    <v>A JSL SA é uma empresa brasileira que atua no setor de logística. A Empresa presta serviços através de seis linhas de negócio: Transporte Rodoviário de Carga e Logística Rodoviária Dedicada de Carga, envolvida na cadeia de abastecimento e gestão das informações da cadeia logística do cliente; Commodity Logistics, que oferece soluções customizadas para os setores de papel e celulose, mineração e sucroenergético; Logística Interna, que consiste no manuseio interno de matérias-primas, produtos, gestão de estoque e abastecimento da linha de montagem do cliente; Distribuição Urbana, que inclui abastecimento de pontos de venda e gestão de devolução de embalagens; Serviços de Warehousing, dedicados à recepção, armazenamento e expedição de mercadorias e gestão de inventário; e Afretamento, que presta serviços de transporte para funcionários de empresas clientes por meio dos demais serviços prestados pela Companhia. A Firma é controlada pela Simpar SA.</v>
    <v>BVMF</v>
    <v>5.8</v>
    <v>28000</v>
    <v>45850</v>
    <v>634</v>
    <v>402360</v>
    <v>BRL</v>
    <v>JSL S.A.</v>
    <v>JSL S.A.</v>
    <v>5.8</v>
    <v>5.6</v>
    <v>Rua Doutor Renato Paes de Barros, 1017, Conjunto 91,ED. Corporate Park, Itaim Bibi, SAO PAULO, SAO PAULO, 04.530-001 BR</v>
    <v>Freight &amp; Logistics Services</v>
    <v>JSLG3</v>
    <v>Ações</v>
    <v>JSL S.A. (BVMF:JSLG3)</v>
    <v>-0.2</v>
    <v>-3.4483E-2</v>
    <v>907500</v>
  </rv>
  <rv s="2">
    <v>635</v>
  </rv>
  <rv s="0">
    <v>https://www.bing.com/financeapi/forcetrigger?t=c337yc&amp;q=BVMF%3aONCO3&amp;form=skydnc</v>
    <v>Learn more on Bing</v>
  </rv>
  <rv s="9">
    <v>pt-BR</v>
    <v>c337yc</v>
    <v>268435456</v>
    <v>1</v>
    <v>Da plataforma Refinitiv</v>
    <v>18</v>
    <v>19</v>
    <v>Oncoclínicas do Brasil Serviços Médicos S.A. (BVMF:ONCO3)</v>
    <v>12</v>
    <v>27</v>
    <v>Finance</v>
    <v>5</v>
    <v>8.25</v>
    <v>1.74</v>
    <v>BVMF</v>
    <v>651756300</v>
    <v>5.54</v>
    <v>2010</v>
    <v>5.21</v>
    <v>1.3875999999999999</v>
    <v>B3 - Brazil Stock Exchange</v>
    <v>3493413768</v>
    <v>A Oncoclinicas do Brasil Servicos Medicos SA é uma empresa brasileira que atua no setor de serviços médicos ambulatoriais. A empresa presta serviços médicos focados em Oncologia. A Companhia, desde sua fundação, além de atuar diretamente no tratamento de pacientes com câncer, se dedicou ao estudo e identificação das oportunidades terapêuticas adequadas para os pacientes e das tendências de crescimento no setor. A empresa detém participação em diversas subsidiárias, como Centro de Quimioterapia Antiblastica e Imunoterapia SA, Centro Mineiro de Infrações SA e Centro Paulista de Oncologia SA.</v>
    <v>BVMF</v>
    <v>5.38</v>
    <v>45849.838194733595</v>
    <v>637</v>
    <v>2336260</v>
    <v>BRL</v>
    <v>Oncoclínicas do Brasil Serviços Médicos S.A.</v>
    <v>Oncoclínicas do Brasil Serviços Médicos S.A.</v>
    <v>5.3</v>
    <v>5.36</v>
    <v>Avenida Presidente Juscelino Kubitschek, n 510 2 andar, Vila Nova Conceicao, SAO PAULO, SAO PAULO, 04.543-906 BR</v>
    <v>Healthcare Providers &amp; Services</v>
    <v>ONCO3</v>
    <v>Ações</v>
    <v>Oncoclínicas do Brasil Serviços Médicos S.A. (BVMF:ONCO3)</v>
    <v>-0.02</v>
    <v>-3.7169999999999998E-3</v>
    <v>1466600</v>
  </rv>
  <rv s="2">
    <v>638</v>
  </rv>
  <rv s="0">
    <v>https://www.bing.com/financeapi/forcetrigger?t=apltk2&amp;q=BVMF%3aAALR3&amp;form=skydnc</v>
    <v>Learn more on Bing</v>
  </rv>
  <rv s="9">
    <v>pt-BR</v>
    <v>apltk2</v>
    <v>268435456</v>
    <v>1</v>
    <v>Da plataforma Refinitiv</v>
    <v>18</v>
    <v>19</v>
    <v>ALLIANÇA SAÚDE E PARTICIPAÇÕES S.A. (BVMF:AALR3)</v>
    <v>12</v>
    <v>27</v>
    <v>Finance</v>
    <v>5</v>
    <v>17.32</v>
    <v>3.88</v>
    <v>BVMF</v>
    <v>152359500</v>
    <v>5</v>
    <v>1992</v>
    <v>4.55</v>
    <v>0.87639999999999996</v>
    <v>B3 - Brazil Stock Exchange</v>
    <v>746561500</v>
    <v>Allianca Saude e Participações SA é uma empresa brasileira que atua no setor de serviços e equipamentos de saúde. A Empresa e suas subsidiárias têm como objetivo corporativo a prestação de diagnóstico de serviços médicos, incluindo: Diagnóstico de imagem e métodos gráficos; medicina nuclear e citologia; anatomia patológica; e análises clínicas, diretamente ou utilizando empresas médicas especializadas e laboratórios contratados, bem como outros serviços de auxílio de apoio diagnóstico. A Companhia e suas subsidiárias também operam na exploração de atividades relacionadas a: Importação, para uso próprio de equipamentos médico-hospitalares, kits de diagnóstico e equipamentos relacionados em geral; consultoria, assessoria, cursos e palestras na área da saúde; e pesquisa e desenvolvimento científico e tecnológico no campo da medicina diagnóstica; preparação, edição, publicação e distribuição de jornais, livros, revistas, periódicos e outros veículos de comunicação escrita.</v>
    <v>BVMF</v>
    <v>4.78</v>
    <v>45849.8368060875</v>
    <v>640</v>
    <v>125600</v>
    <v>BRL</v>
    <v>ALLIANÇA SAÚDE E PARTICIPAÇÕES S.A.</v>
    <v>ALLIANÇA SAÚDE E PARTICIPAÇÕES S.A.</v>
    <v>4.8</v>
    <v>4.9000000000000004</v>
    <v>Avenida Presidente Juscelino Kubitschek, 1830, Sala 111 - Bloco 1, Vila Nova Conceicao, SAO PAULO, SAO PAULO, 04.543-900 BR</v>
    <v>Healthcare Providers &amp; Services</v>
    <v>AALR3</v>
    <v>Ações</v>
    <v>ALLIANÇA SAÚDE E PARTICIPAÇÕES S.A. (BVMF:AALR3)</v>
    <v>0.12</v>
    <v>2.5104999999999999E-2</v>
    <v>143200</v>
  </rv>
  <rv s="2">
    <v>641</v>
  </rv>
  <rv s="0">
    <v>https://www.bing.com/financeapi/forcetrigger?t=apmpqh&amp;q=BVMF%3aHBOR3&amp;form=skydnc</v>
    <v>Learn more on Bing</v>
  </rv>
  <rv s="8">
    <v>pt-BR</v>
    <v>apmpqh</v>
    <v>268435456</v>
    <v>1</v>
    <v>Da plataforma Refinitiv</v>
    <v>14</v>
    <v>15</v>
    <v>HELBOR EMPREENDIMENTOS S.A. (BVMF:HBOR3)</v>
    <v>12</v>
    <v>16</v>
    <v>Finance</v>
    <v>5</v>
    <v>3.2</v>
    <v>1.24</v>
    <v>BVMF</v>
    <v>133851100</v>
    <v>2.2400000000000002</v>
    <v>1977</v>
    <v>1.98</v>
    <v>2.1152000000000002</v>
    <v>B3 - Brazil Stock Exchange</v>
    <v>298487953</v>
    <v>A Helbor Empreendimentos SA, anteriormente denominada Helbor Empreendimentos Imobiliarios Ltda, é uma empresa com sede no Brasil que atua no setor imobiliário. A Companhia dedica-se principalmente ao desenvolvimento, aquisição, venda e administração de propriedades imobiliárias residenciais e comerciais. A Companhia está presente no mercado nacional em cerca de dez estados e no Distrito Federal, abrangendo aproximadamente 31 cidades brasileiras. A Companhia opera por meio de várias subsidiárias, incluindo SCP Helbor Resort Reserva do Mar, SCP Helbor Tendence, SCP Howa, SCP Coral Gables, SPE Capital Federal Investimentos Imobiliários Ltda, SCP Edificio Helbor Home Flex Gonzaga e SCP Helbor Reserva do Itapety, entre outras.</v>
    <v>BVMF</v>
    <v>2.0299999999999998</v>
    <v>183</v>
    <v>45850</v>
    <v>643</v>
    <v>1929790</v>
    <v>BRL</v>
    <v>HELBOR EMPREENDIMENTOS S.A.</v>
    <v>HELBOR EMPREENDIMENTOS S.A.</v>
    <v>2.0499999999999998</v>
    <v>2.23</v>
    <v>Av. Vereador Narciso Yague Guimaraes, N 1145,15 Andar, Jardim Armenia, MOGI DAS CRUZES, SAO PAULO, 08.780-500 BR</v>
    <v>Real Estate Operations</v>
    <v>HBOR3</v>
    <v>Ações</v>
    <v>HELBOR EMPREENDIMENTOS S.A. (BVMF:HBOR3)</v>
    <v>0.2</v>
    <v>9.8521999999999998E-2</v>
    <v>2382400</v>
  </rv>
  <rv s="2">
    <v>644</v>
  </rv>
  <rv s="0">
    <v>https://www.bing.com/financeapi/forcetrigger?t=apmbxm&amp;q=BVMF%3aCRPG5&amp;form=skydnc</v>
    <v>Learn more on Bing</v>
  </rv>
  <rv s="9">
    <v>pt-BR</v>
    <v>apmbxm</v>
    <v>268435456</v>
    <v>1</v>
    <v>Da plataforma Refinitiv</v>
    <v>18</v>
    <v>19</v>
    <v>Tronox Pigmentos do Brasil SA (BVMF:CRPG5)</v>
    <v>12</v>
    <v>27</v>
    <v>Finance</v>
    <v>5</v>
    <v>30.27</v>
    <v>15.95</v>
    <v>BVMF</v>
    <v>29018750</v>
    <v>16.059999999999999</v>
    <v>1966</v>
    <v>15.95</v>
    <v>0.82179999999999997</v>
    <v>B3 - Brazil Stock Exchange</v>
    <v>509925600</v>
    <v>A Tronox Pigmentos do Brasil SA, anteriormente conhecida como Cristal Pigmentos do Brasil SA, é uma empresa sediada no Brasil que atua principalmente na fabricação de produtos químicos, como dióxido de titânio e ácido sulfúrico. O dióxido de titânio (TiO2), principal produto da empresa, é usado na fabricação de tintas, papéis, garrafas de plástico, tapume de vinil e materiais de embalagem, entre outros. A Companhia também atua na produção e comercialização de minerais, incluindo rutilo, ilmenita e zircão. Opera uma unidade industrial no estado da Bahia e uma mina no estado da Paraíba. Em 31 de dezembro de 2011, a subsidiária da Companhia era a Millennium Inorganic Chemicals Mineracao Ltda, que atua no setor de mineração.</v>
    <v>BVMF</v>
    <v>16.05</v>
    <v>45849.83</v>
    <v>646</v>
    <v>3430</v>
    <v>BRL</v>
    <v>Tronox Pigmentos do Brasil SA</v>
    <v>Tronox Pigmentos do Brasil SA</v>
    <v>15.95</v>
    <v>16.059999999999999</v>
    <v>Rodovia Ba 099 Km 20 Centro, Abrantes, CAMACARI, BAHIA, 42.840-000 BR</v>
    <v>Chemicals</v>
    <v>CRPG5</v>
    <v>Ações</v>
    <v>Tronox Pigmentos do Brasil SA (BVMF:CRPG5)</v>
    <v>0.01</v>
    <v>6.2310000000000002E-4</v>
    <v>2600</v>
  </rv>
  <rv s="2">
    <v>647</v>
  </rv>
  <rv s="0">
    <v>https://www.bing.com/financeapi/forcetrigger?t=apmvrw&amp;q=BVMF%3aLOGN3&amp;form=skydnc</v>
    <v>Learn more on Bing</v>
  </rv>
  <rv s="8">
    <v>pt-BR</v>
    <v>apmvrw</v>
    <v>268435456</v>
    <v>1</v>
    <v>Da plataforma Refinitiv</v>
    <v>14</v>
    <v>15</v>
    <v>LOG-IN LOGISTICA INTERMODAL S.A. (BVMF:LOGN3)</v>
    <v>12</v>
    <v>16</v>
    <v>Finance</v>
    <v>5</v>
    <v>43.46</v>
    <v>19.25</v>
    <v>BVMF</v>
    <v>107306500</v>
    <v>26.07</v>
    <v>1973</v>
    <v>25.85</v>
    <v>0.9214</v>
    <v>B3 - Brazil Stock Exchange</v>
    <v>2773873025</v>
    <v>A Log-in Logística Intermodal SA, antiga Docenave Navegação Vale do Rio Doce SA, é uma empresa com sede no Brasil que planeja, administra e opera soluções de movimentação de cargas por meio da cabotagem, complementadas por serviços rodoviários. A Companhia opera uma malha interligada, que inclui movimentação portuária e transporte porta a porta, por meio de uma malha intermodal que cobre o Brasil e a região do Mercado Comum do Sul (Mercosul). As atividades da Companhia estão divididas em três áreas: Navegação Costeira, que oferece transporte marítimo em portos da costa brasileira e do Mercosul, integrado aos serviços contratados de transporte rodoviário de curta distância; Terminal Portuário, que administra e opera um terminal portuário de contêineres, o Terminal Vila Velha (TVV), no estado do Espírito Santo, Brasil, e Terminais Intermodais, incluindo terminais intermodais terrestres integrados aos serviços da área de Navegação Costeira.</v>
    <v>BVMF</v>
    <v>25.89</v>
    <v>750</v>
    <v>45850</v>
    <v>649</v>
    <v>20240</v>
    <v>BRL</v>
    <v>LOG-IN LOGISTICA INTERMODAL S.A.</v>
    <v>LOG-IN LOGISTICA INTERMODAL S.A.</v>
    <v>25.87</v>
    <v>25.85</v>
    <v>Rua do Passeio, 78 12 andar - 1201, Centro, RIO DE JANEIRO, RIO DE JANEIRO, 20.021-290 BR</v>
    <v>Freight &amp; Logistics Services</v>
    <v>LOGN3</v>
    <v>Ações</v>
    <v>LOG-IN LOGISTICA INTERMODAL S.A. (BVMF:LOGN3)</v>
    <v>-0.04</v>
    <v>-1.5449999999999999E-3</v>
    <v>6700</v>
  </rv>
  <rv s="2">
    <v>650</v>
  </rv>
  <rv s="0">
    <v>https://www.bing.com/financeapi/forcetrigger?t=bxgk6h&amp;q=BVMF%3aVAMO3&amp;form=skydnc</v>
    <v>Learn more on Bing</v>
  </rv>
  <rv s="8">
    <v>pt-BR</v>
    <v>bxgk6h</v>
    <v>268435456</v>
    <v>1</v>
    <v>Da plataforma Refinitiv</v>
    <v>14</v>
    <v>15</v>
    <v>Vamos Locação de Caminhões, Máquinas e Equipamentos S.A. (BVMF:VAMO3)</v>
    <v>12</v>
    <v>17</v>
    <v>Finance</v>
    <v>5</v>
    <v>8.3000000000000007</v>
    <v>3.54</v>
    <v>BVMF</v>
    <v>1081033000</v>
    <v>3.99</v>
    <v>2015</v>
    <v>3.86</v>
    <v>1.2751999999999999</v>
    <v>B3 - Brazil Stock Exchange</v>
    <v>4226837000</v>
    <v>Somos Locacao de Caminhoes, Maquinas e Equipamentos SA é uma empresa pública brasileira que realiza suas atividades através de três segmentos: Locação de caminhões, máquinas e equipamentos; concessionárias de caminhões, máquinas e equipamentos; e customização de caminhões. O segmento de locação de caminhões, máquinas e equipamentos compreende a terceirização de frotas por meio do leasing de caminhões, máquinas e equipamentos e gerenciamento de frotas. O segmento de concessionárias de caminhões, máquinas e equipamentos compreende a comercialização de caminhões novos e usados, máquinas e equipamentos, bem como peças, máquinas e acessórios, prestação de serviços de mecânica, carroçaria e pintura. O segmento de personalização de camiões inclui serviços de personalização e soluções personalizadas para veículos pesados.</v>
    <v>BVMF</v>
    <v>4</v>
    <v>2291</v>
    <v>45849.906550925924</v>
    <v>652</v>
    <v>14265240</v>
    <v>BRL</v>
    <v>Vamos Locação de Caminhões, Máquinas e Equipamentos S.A.</v>
    <v>Vamos Locação de Caminhões, Máquinas e Equipamentos S.A.</v>
    <v>3.98</v>
    <v>3.91</v>
    <v>Rua Doutor Renato Paes de Barros, 1017, 6 andar, Itaim Bibi, SAO PAULO, SAO PAULO, 04.530-001 BR</v>
    <v>Freight &amp; Logistics Services</v>
    <v>VAMO3</v>
    <v>Ações</v>
    <v>Vamos Locação de Caminhões, Máquinas e Equipamentos S.A. (BVMF:VAMO3)</v>
    <v>-0.09</v>
    <v>-2.2499999999999999E-2</v>
    <v>13712900</v>
  </rv>
  <rv s="2">
    <v>653</v>
  </rv>
  <rv s="0">
    <v>https://www.bing.com/financeapi/forcetrigger?t=apmsww&amp;q=BVMF%3aJHSF3&amp;form=skydnc</v>
    <v>Learn more on Bing</v>
  </rv>
  <rv s="9">
    <v>pt-BR</v>
    <v>apmsww</v>
    <v>268435456</v>
    <v>1</v>
    <v>Da plataforma Refinitiv</v>
    <v>18</v>
    <v>19</v>
    <v>JHS F Participações S.A (BVMF:JHSF3)</v>
    <v>12</v>
    <v>20</v>
    <v>Finance</v>
    <v>5</v>
    <v>5.44</v>
    <v>3.41</v>
    <v>BVMF</v>
    <v>681322800</v>
    <v>5.26</v>
    <v>2006</v>
    <v>5.1100000000000003</v>
    <v>1.5562</v>
    <v>B3 - Brazil Stock Exchange</v>
    <v>3563318244</v>
    <v>A JHSF Participações SA é uma holding sediada no Brasil. Centra-se no setor imobiliário de alta qualidade. As operações da Companhia estão divididas em vários segmentos de negócio: Desenvolvimento Imobiliário, Casas de Aluguer e Clubes, Centros Comerciais, Hospitalidade e Gastronomia, Aeroporto Executivo, Varejo, ID digital e capital. As principais marcas da JHSF incluem Fazenda Boa Vista, Cidade Jardim Mall, Catarina Fashion Outlet e Fasano. A JHSF Participações SA opera através de inúmeras subsidiárias, incluindo a JHSF Investimentos em Negócios Aeronautas Ltda, Companhia Urbanizadora Jardim Panorama SA, Corbas Administradora de Bens Ltda, JHSF Administradora do Catarina Aeroporto Executivo SA, bem como a JHSF Faria Lima Administracao e Participações Ltda.</v>
    <v>BVMF</v>
    <v>5.2</v>
    <v>45850</v>
    <v>655</v>
    <v>2452240</v>
    <v>BRL</v>
    <v>JHS F Participações S.A</v>
    <v>JHS F Participações S.A</v>
    <v>5.14</v>
    <v>5.23</v>
    <v>Avenida Alcides Sangirardi s/n - 301 Usina SP Espaco C.01.01, Cidade Jardim, SAO PAULO, SAO PAULO, 05.672-015 BR</v>
    <v>Real Estate Operations</v>
    <v>JHSF3</v>
    <v>Ações</v>
    <v>JHS F Participações S.A (BVMF:JHSF3)</v>
    <v>0.03</v>
    <v>5.7689999999999998E-3</v>
    <v>2652300</v>
  </rv>
  <rv s="2">
    <v>656</v>
  </rv>
  <rv s="0">
    <v>https://www.bing.com/financeapi/forcetrigger?t=apmtf2&amp;q=BVMF%3aSIMH3&amp;form=skydnc</v>
    <v>Learn more on Bing</v>
  </rv>
  <rv s="8">
    <v>pt-BR</v>
    <v>apmtf2</v>
    <v>268435456</v>
    <v>1</v>
    <v>Da plataforma Refinitiv</v>
    <v>14</v>
    <v>15</v>
    <v>SIMPAR S.A. (BVMF:SIMH3)</v>
    <v>12</v>
    <v>17</v>
    <v>Finance</v>
    <v>5</v>
    <v>7.05</v>
    <v>2.95</v>
    <v>BVMF</v>
    <v>873040500</v>
    <v>4.68</v>
    <v>2005</v>
    <v>4.37</v>
    <v>1.6014999999999999</v>
    <v>B3 - Brazil Stock Exchange</v>
    <v>3876299820</v>
    <v>A Simpar SA é uma provedora de serviços de investimento financeiro com sede no Brasil. Atua como holding do Grupo JSL. Por meio de suas controladas, a Companhia presta serviços divididos em sete segmentos: JSL Logística, voltada para os setores de transporte e logística; Movida, que atua no setor de aluguel de veículos leves e gestão de frotas; CS Brasil, que presta serviços a órgãos públicos e empresas, incluindo gestão e terceirização de frotas, transporte urbano de passageiros e serviços de limpeza urbana; Concessionarias Originais, que tem por objeto a comercialização de automóveis e peças Volkswagen, FIAT e Ford; BBC, oferecendo serviços financeiros, como leasing, emissão e administração de cartões de crédito e processamento de pagamentos eletrônicos; e Holding e outras, compostas principalmente por entidades sediadas no exterior, utilizadas como veículos de captação de recursos.</v>
    <v>BVMF</v>
    <v>4.66</v>
    <v>56000</v>
    <v>45849.838194803124</v>
    <v>658</v>
    <v>4580940</v>
    <v>BRL</v>
    <v>SIMPAR S.A.</v>
    <v>SIMPAR S.A.</v>
    <v>4.6399999999999997</v>
    <v>4.4400000000000004</v>
    <v>Rua Doutor Renato Paes de Barros, 1017, 10 andar, cj. 101, Itaim Bibi, SAO PAULO, SAO PAULO, 04.530-001 BR</v>
    <v>Freight &amp; Logistics Services</v>
    <v>SIMH3</v>
    <v>Ações</v>
    <v>SIMPAR S.A. (BVMF:SIMH3)</v>
    <v>-0.22</v>
    <v>-4.7210000000000002E-2</v>
    <v>5309200</v>
  </rv>
  <rv s="2">
    <v>659</v>
  </rv>
  <rv s="0">
    <v>https://www.bing.com/financeapi/forcetrigger?t=apmp9c&amp;q=BVMF%3aGUAR3&amp;form=skydnc</v>
    <v>Learn more on Bing</v>
  </rv>
  <rv s="8">
    <v>pt-BR</v>
    <v>apmp9c</v>
    <v>268435456</v>
    <v>1</v>
    <v>Da plataforma Refinitiv</v>
    <v>14</v>
    <v>15</v>
    <v>Guararapes Confecções S/A (BVMF:GUAR3)</v>
    <v>12</v>
    <v>17</v>
    <v>Finance</v>
    <v>5</v>
    <v>9.7100000000000009</v>
    <v>5.56</v>
    <v>BVMF</v>
    <v>499200000</v>
    <v>8.26</v>
    <v>1956</v>
    <v>7.95</v>
    <v>2.1972</v>
    <v>B3 - Brazil Stock Exchange</v>
    <v>3968640000</v>
    <v>A Guararapes Confecções S.A. é uma empresa brasileira que se dedica principalmente à indústria da moda. A Empresa está envolvida na fabricação, comércio atacadista, varejista e exportação de vestuário e tecidos, bem como na importação e venda por atacado de calçados, roupa de banho e mesa, perfumes e cosméticos, entre outros. As atividades da Empresa estão divididas em três segmentos de negócios: Varejo, que se concentra na venda de vestuário e outros bens por meio da rede de lojas sob a marca Lojas Riachuelo; Finanças, que oferece empréstimos ao consumidor concedidos por meio de cartões de crédito, e Outros, que inclui arrendamento e gestão de imóveis comerciais, bem como transporte rodoviário, entre outros. A Empresa opera por meio de diversas subsidiárias, como Lojas Riachuelo SA, Midway Shopping Center Ltda., Midway SA - Crédito Financiamento e Investimento e Transportadora Casa Verde Ltda.</v>
    <v>BVMF</v>
    <v>8.2899999999999991</v>
    <v>31919</v>
    <v>45849.838683471877</v>
    <v>661</v>
    <v>653160</v>
    <v>BRL</v>
    <v>Guararapes Confecções S/A</v>
    <v>Guararapes Confecções S/A</v>
    <v>8.1999999999999993</v>
    <v>7.95</v>
    <v>Rodovia BR 101 Norte, n 9.000, Anexo Guararapes Confeccoes, N. Sra. Apresentacao, NATAL, RIO GRANDE DO NORTE, 59.115-900 BR</v>
    <v>Specialty Retailers</v>
    <v>GUAR3</v>
    <v>Ações</v>
    <v>Guararapes Confecções S/A (BVMF:GUAR3)</v>
    <v>-0.34</v>
    <v>-4.1013000000000001E-2</v>
    <v>640000</v>
  </rv>
  <rv s="2">
    <v>662</v>
  </rv>
  <rv s="0">
    <v>https://www.bing.com/financeapi/forcetrigger?t=apnc27&amp;q=BVMF%3aSGPS3&amp;form=skydnc</v>
    <v>Learn more on Bing</v>
  </rv>
  <rv s="7">
    <v>pt-BR</v>
    <v>apnc27</v>
    <v>268435456</v>
    <v>1</v>
    <v>Da plataforma Refinitiv</v>
    <v>10</v>
    <v>11</v>
    <v>SPRINGS GLOBAL PARTICIPACOES S.A. EM RECUPERACAO JUDICIAL (BVMF:SGPS3)</v>
    <v>12</v>
    <v>13</v>
    <v>Finance</v>
    <v>5</v>
    <v>2.34</v>
    <v>1.64</v>
    <v>BVMF</v>
    <v>10000000</v>
    <v>1.64</v>
    <v>2005</v>
    <v>1.64</v>
    <v>2.0726</v>
    <v>B3 - Brazil Stock Exchange</v>
    <v>16399999</v>
    <v>A SPRINGS Global Participações SA em Recuperacao Judicial é uma holding brasileira que atua na indústria têxtil. Através de suas subsidiárias, a empresa integrou verticalmente a produção de seus produtos, desde fiação, tecelagem, preparação, tingimento, impressão, acabamento e costura, com fábricas no Brasil (nove unidades) e Argentina (uma unidade). No Brasil, as principais marcas comercializadas pela Springs Global são a Santista, que é vendida tanto por atacado quanto por varejo online; a Artex, que atende canais de distribuição por atacado e varejo; e a MMartan e a Casa Moyses, que são vendidas exclusivamente em lojas de varejo de marca única. No mercado argentino, a empresa tem as marcas Palette, Arco-iris e Fantasia.</v>
    <v>BVMF</v>
    <v>1.75</v>
    <v>7454</v>
    <v>45519.947916666664</v>
    <v>664</v>
    <v>BRL</v>
    <v>SPRINGS GLOBAL PARTICIPACOES S.A. EM RECUPERACAO JUDICIAL</v>
    <v>SPRINGS GLOBAL PARTICIPACOES S.A. EM RECUPERACAO JUDICIAL</v>
    <v>1.64</v>
    <v>1.64</v>
    <v>Av. Lincoln Alves dos Santos, 955, Distrito Industrial, MONTES CLAROS, MINAS GERAIS, 39.404-005 BR</v>
    <v>Textiles &amp; Apparel</v>
    <v>SGPS3</v>
    <v>Ações</v>
    <v>SPRINGS GLOBAL PARTICIPACOES S.A. EM RECUPERACAO JUDICIAL (BVMF:SGPS3)</v>
    <v>-0.11</v>
    <v>-6.2856999999999996E-2</v>
    <v>19800</v>
  </rv>
  <rv s="2">
    <v>665</v>
  </rv>
  <rv s="0">
    <v>https://www.bing.com/financeapi/forcetrigger?t=apmuk2&amp;q=BVMF%3aCOGN3&amp;form=skydnc</v>
    <v>Learn more on Bing</v>
  </rv>
  <rv s="8">
    <v>pt-BR</v>
    <v>apmuk2</v>
    <v>268435456</v>
    <v>1</v>
    <v>Da plataforma Refinitiv</v>
    <v>14</v>
    <v>15</v>
    <v>COGNA EDUCAÇÃO S.A. (BVMF:COGN3)</v>
    <v>12</v>
    <v>17</v>
    <v>Finance</v>
    <v>5</v>
    <v>3.19</v>
    <v>0.95</v>
    <v>BVMF</v>
    <v>1876606000</v>
    <v>2.76</v>
    <v>1998</v>
    <v>2.59</v>
    <v>1.9462999999999999</v>
    <v>B3 - Brazil Stock Exchange</v>
    <v>4973006000</v>
    <v>A Cogna Educação SA, anteriormente Kroton Educacional SA, é uma empresa sediada no Brasil, atuante no setor de educação privada. A Companhia se concentra no desenvolvimento de escolas primárias e secundárias, programas de pós-graduação e pós-graduação, além de cursos vocacionais. As atividades da Companhia são divididas em três segmentos de negócios: Ensino superior em sala de aula, que oferece programas de ensino secundário no campus; Ensino superior a distância (EAD), que fornece programas de ensino médio por meio de plataforma on-line, e Educação básica, que inclui escolas primárias próprias e gerenciadas, coleta e desenvolvimento de materiais de ensino, consultoria de gestão escolar, ferramentas de apoio educacional, entre outros. A Companhia opera diversas marcas, como Anhanguera, Fama, Pitagoras, Unic, Unime e Unopar. Além disso, está envolvida no atacado, varejo, distribuição, importação e exportação de livros didáticos, livros didáticos, revistas e outras publicações relacionadas à educação.</v>
    <v>BVMF</v>
    <v>2.76</v>
    <v>26933</v>
    <v>45849.838710740623</v>
    <v>667</v>
    <v>25302560</v>
    <v>BRL</v>
    <v>COGNA EDUCAÇÃO S.A.</v>
    <v>COGNA EDUCAÇÃO S.A.</v>
    <v>2.75</v>
    <v>2.65</v>
    <v>Rua dos Guajajaras, n 591 4 andar, sala 1, Lourdes, BELO HORIZONTE, MINAS GERAIS, 30.180-101 BR</v>
    <v>School, College &amp; University</v>
    <v>COGN3</v>
    <v>Ações</v>
    <v>COGNA EDUCAÇÃO S.A. (BVMF:COGN3)</v>
    <v>-0.11</v>
    <v>-3.9855000000000002E-2</v>
    <v>53148000</v>
  </rv>
  <rv s="2">
    <v>668</v>
  </rv>
  <rv s="0">
    <v>https://www.bing.com/financeapi/forcetrigger?t=apn2nm&amp;q=BVMF%3aOIBR4&amp;form=skydnc</v>
    <v>Learn more on Bing</v>
  </rv>
  <rv s="8">
    <v>pt-BR</v>
    <v>apn2nm</v>
    <v>268435456</v>
    <v>1</v>
    <v>Da plataforma Refinitiv</v>
    <v>14</v>
    <v>15</v>
    <v>Oi S.A. – Em Recuperação Judicial (BVMF:OIBR4)</v>
    <v>12</v>
    <v>17</v>
    <v>Finance</v>
    <v>5</v>
    <v>15.96</v>
    <v>5.65</v>
    <v>BVMF</v>
    <v>330121700</v>
    <v>8.56</v>
    <v>1963</v>
    <v>8.0299999999999994</v>
    <v>1.3754999999999999</v>
    <v>B3 - Brazil Stock Exchange</v>
    <v>209981400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8.15</v>
    <v>2600</v>
    <v>45849.83680571719</v>
    <v>670</v>
    <v>23600</v>
    <v>BRL</v>
    <v>Oi S.A. – Em Recuperação Judicial</v>
    <v>Oi S.A. – Em Recuperação Judicial</v>
    <v>8.1199999999999992</v>
    <v>8.56</v>
    <v>Rua do Lavradio, 71,2 andar, Centro, RIO DE JANEIRO, RIO DE JANEIRO, 20.230-070 BR</v>
    <v>Telecommunications Services</v>
    <v>OIBR4</v>
    <v>Ações</v>
    <v>Oi S.A. – Em Recuperação Judicial (BVMF:OIBR4)</v>
    <v>0.41</v>
    <v>5.0307000000000004E-2</v>
    <v>12900</v>
  </rv>
  <rv s="2">
    <v>671</v>
  </rv>
  <rv s="0">
    <v>https://www.bing.com/financeapi/forcetrigger?t=c3an52&amp;q=BVMF%3aVITT3&amp;form=skydnc</v>
    <v>Learn more on Bing</v>
  </rv>
  <rv s="8">
    <v>pt-BR</v>
    <v>c3an52</v>
    <v>268435456</v>
    <v>1</v>
    <v>Da plataforma Refinitiv</v>
    <v>14</v>
    <v>15</v>
    <v>VITTIA S.A. (BVMF:VITT3)</v>
    <v>12</v>
    <v>17</v>
    <v>Finance</v>
    <v>5</v>
    <v>6.28</v>
    <v>4.32</v>
    <v>BVMF</v>
    <v>150314000</v>
    <v>4.96</v>
    <v>1971</v>
    <v>4.8499999999999996</v>
    <v>1.0293000000000001</v>
    <v>B3 - Brazil Stock Exchange</v>
    <v>745557440</v>
    <v>Vittia SA, anteriormente Vittia Fertilizantes e Biologicos SA é uma empresa de biotecnologia sediada no Brasil, presente no mercado agrícola. É focado no controle biológico e inoculantes. As atividades da Companhia são realizadas através de quatro segmentos operacionais: Fertilizantes foliares e Produtos Industriais (produtos baseados em substâncias minerais e/ou orgânicas que fornecem nutrientes às plantas através de aplicações em suas folhas ou sementes); micronutrientes do solo (produtos com alta solubilidade em água que são aplicados diretamente no solo para fornecer micronutrientes às plantas, podendo ser granulado ou moído); produtos biológicos (produtos desenvolvidos à base de microrganismos ou macroorganismos, utilizados para controlar pragas e doenças nocivas em plantas); e Condicionadores de Solo e Fertilizantes Organominerais (produtos utilizados para melhorar as propriedades físicas, físico-químicas e biológicas do solo, com o objetivo de aumentar a eficiência das plantas na absorção de nutrientes).</v>
    <v>BVMF</v>
    <v>4.92</v>
    <v>1169</v>
    <v>45849.908472222225</v>
    <v>673</v>
    <v>147320</v>
    <v>BRL</v>
    <v>VITTIA S.A.</v>
    <v>VITTIA S.A.</v>
    <v>4.87</v>
    <v>4.96</v>
    <v>Av. MarginAvenida Marginal Esquerda, 1.000al Esquerda, 1.000, Distrito Industrial, Sao Joaquim da Barra, SAO PAULO, 14.600-000 BR</v>
    <v>Chemicals</v>
    <v>VITT3</v>
    <v>Ações</v>
    <v>VITTIA S.A. (BVMF:VITT3)</v>
    <v>0.04</v>
    <v>8.1300000000000001E-3</v>
    <v>109300</v>
  </rv>
  <rv s="2">
    <v>674</v>
  </rv>
  <rv s="0">
    <v>https://www.bing.com/financeapi/forcetrigger?t=apn7bh&amp;q=BVMF%3aPTBL3&amp;form=skydnc</v>
    <v>Learn more on Bing</v>
  </rv>
  <rv s="8">
    <v>pt-BR</v>
    <v>apn7bh</v>
    <v>268435456</v>
    <v>1</v>
    <v>Da plataforma Refinitiv</v>
    <v>14</v>
    <v>15</v>
    <v>PBG S/A (BVMF:PTBL3)</v>
    <v>12</v>
    <v>17</v>
    <v>Finance</v>
    <v>5</v>
    <v>5.55</v>
    <v>3.25</v>
    <v>BVMF</v>
    <v>140986900</v>
    <v>4.3600000000000003</v>
    <v>1977</v>
    <v>4.1500000000000004</v>
    <v>1.7479</v>
    <v>B3 - Brazil Stock Exchange</v>
    <v>597784400</v>
    <v>A PBG S/A, anteriormente denominada Portobello S.A., é uma empresa brasileira dedicada principalmente à produção e comercialização de produtos cerâmicos. O portfólio da Empresa inclui pisos, telhas de porcelana técnica e esmaltada, peças decorativas, mosaicos, produtos para o revestimento de paredes internas e fachadas externas, entre outros. Por meio de suas subsidiárias, a Empresa também está envolvida na administração de rede de lojas de franquia sob as marcas Portobello Shop e Empório Portobello, especializada em telhas cerâmicas. Adicionalmente, a Empresa atua na prestação de serviços complementares na área de materiais de construção. As subsidiárias da Empresa incluem a Portobello America Inc, a PBTech Comércio e Serviços de Revestimentos Cerâmicos Ltda., a Portobello Shop SA e a Mineração Portobello Ltda.</v>
    <v>BVMF</v>
    <v>4.42</v>
    <v>2448</v>
    <v>45849.837500126559</v>
    <v>676</v>
    <v>187560</v>
    <v>BRL</v>
    <v>PBG S/A</v>
    <v>PBG S/A</v>
    <v>4.32</v>
    <v>4.24</v>
    <v>Sc-401 4756, Saco Grande, FLORIANOPOLIS, SANTA CATARINA, 88.032-005 BR</v>
    <v>Homebuilding &amp; Construction Supplies</v>
    <v>PTBL3</v>
    <v>Ações</v>
    <v>PBG S/A (BVMF:PTBL3)</v>
    <v>-0.18</v>
    <v>-4.0724000000000003E-2</v>
    <v>205400</v>
  </rv>
  <rv s="2">
    <v>677</v>
  </rv>
  <rv s="0">
    <v>https://www.bing.com/financeapi/forcetrigger?t=c1c2vh&amp;q=BVMF%3aVVEO3&amp;form=skydnc</v>
    <v>Learn more on Bing</v>
  </rv>
  <rv s="8">
    <v>pt-BR</v>
    <v>c1c2vh</v>
    <v>268435456</v>
    <v>1</v>
    <v>Da plataforma Refinitiv</v>
    <v>14</v>
    <v>15</v>
    <v>CM Hospitalar S.A. (BVMF:VVEO3)</v>
    <v>12</v>
    <v>17</v>
    <v>Finance</v>
    <v>5</v>
    <v>3.15</v>
    <v>1.07</v>
    <v>BVMF</v>
    <v>322820600</v>
    <v>1.2</v>
    <v>2010</v>
    <v>1.1599999999999999</v>
    <v>0.95469999999999999</v>
    <v>B3 - Brazil Stock Exchange</v>
    <v>384156500</v>
    <v>A CM Hospitalar SA, anteriormente conhecida como CM Hospitalar Ltda, é uma empresa pública brasileira que atua no comércio por grosso de medicamentos, medicamentos e suprimentos hospitalares. A empresa opera principalmente na exportação, importação, produção, representação, armazenamento, distribuição e expedição de medicamentos, incluindo o controlo especial e o comércio grossista em geral, atuando principalmente no comércio de produtos de saúde, como intermediário entre indústrias e hospitais, clínicas, lares e instituições de saúde no mercado privado e público, além de participar em outros investimentos. Atua em todo o Brasil com uma estrutura comercial e logística. O planejamento a médio e longo prazo da Companhia engloba a aquisição de empresas do segmento e um importante fortalecimento comercial em todo o Brasil, ampliando sua posição na distribuição de medicamentos e suprimentos hospitalares.</v>
    <v>BVMF</v>
    <v>1.18</v>
    <v>6000</v>
    <v>45849.836806214844</v>
    <v>679</v>
    <v>539060</v>
    <v>BRL</v>
    <v>CM Hospitalar S.A.</v>
    <v>CM Hospitalar S.A.</v>
    <v>1.1599999999999999</v>
    <v>1.19</v>
    <v>Avenida Luiz Maggioni, n 2.727, Distrito Empresarial, RIBEIRAO PRETO, SAO PAULO, 14.072-055 BR</v>
    <v>Pharmaceuticals</v>
    <v>VVEO3</v>
    <v>Ações</v>
    <v>CM Hospitalar S.A. (BVMF:VVEO3)</v>
    <v>0.01</v>
    <v>8.4749999999999999E-3</v>
    <v>276200</v>
  </rv>
  <rv s="2">
    <v>680</v>
  </rv>
  <rv s="0">
    <v>https://www.bing.com/financeapi/forcetrigger?t=bxi3ec&amp;q=BVMF%3aHBRE3&amp;form=skydnc</v>
    <v>Learn more on Bing</v>
  </rv>
  <rv s="9">
    <v>pt-BR</v>
    <v>bxi3ec</v>
    <v>268435456</v>
    <v>1</v>
    <v>Da plataforma Refinitiv</v>
    <v>18</v>
    <v>19</v>
    <v>HBR Realty Empreendimentos Imobiliários S.A. (BVMF:HBRE3)</v>
    <v>12</v>
    <v>27</v>
    <v>Finance</v>
    <v>5</v>
    <v>6.11</v>
    <v>2.5499999999999998</v>
    <v>BVMF</v>
    <v>103189000</v>
    <v>3.12</v>
    <v>2011</v>
    <v>2.96</v>
    <v>1.4561999999999999</v>
    <v>B3 - Brazil Stock Exchange</v>
    <v>315758300</v>
    <v>A HBR Realty Empreendimentos Imobiliarios SA é uma empresa sediada no Brasil que atua no desenvolvimento e administração de bens imóveis não residenciais localizados principalmente no estado de São Paulo. A Companhia atua por meio de quatro divisões de negócios: ComVem, voltada para unidades comerciais construídas em modelo autônomo ou localizadas no térreo de edifícios residenciais, por meio de parcerias com incorporadoras; HBR3A, dedicado a edifícios de escritórios de alto padrão; HBR Malls, que atua na aquisição e administração de shopping centers; e HBR Opportunities, que inclui outros ativos, como hotéis, estacionamento e self-storage, entre outros. Além disso, a Companhia presta serviços de consultoria para Real Estate Investment Trusts (REITs).</v>
    <v>BVMF</v>
    <v>3.05</v>
    <v>45849.838194999997</v>
    <v>682</v>
    <v>449200</v>
    <v>BRL</v>
    <v>HBR Realty Empreendimentos Imobiliários S.A.</v>
    <v>HBR Realty Empreendimentos Imobiliários S.A.</v>
    <v>3.03</v>
    <v>3.06</v>
    <v>Avenida Vereador Narciso Yague Guimaraes, 1.145, 2 andar, Jardim Armenia, Mogi Das Cruzes, SAO PAULO, 08.780-500 BR</v>
    <v>Real Estate Operations</v>
    <v>HBRE3</v>
    <v>Ações</v>
    <v>HBR Realty Empreendimentos Imobiliários S.A. (BVMF:HBRE3)</v>
    <v>0.01</v>
    <v>3.2790000000000002E-3</v>
    <v>510600</v>
  </rv>
  <rv s="2">
    <v>683</v>
  </rv>
  <rv s="0">
    <v>https://www.bing.com/financeapi/forcetrigger?t=apn9a2&amp;q=BVMF%3aRDNI3&amp;form=skydnc</v>
    <v>Learn more on Bing</v>
  </rv>
  <rv s="8">
    <v>pt-BR</v>
    <v>apn9a2</v>
    <v>268435456</v>
    <v>1</v>
    <v>Da plataforma Refinitiv</v>
    <v>14</v>
    <v>15</v>
    <v>RNI Negócios Imobiliários S.A. (BVMF:RDNI3)</v>
    <v>12</v>
    <v>16</v>
    <v>Finance</v>
    <v>5</v>
    <v>3.53</v>
    <v>2.02</v>
    <v>BVMF</v>
    <v>43769810</v>
    <v>2.34</v>
    <v>1991</v>
    <v>2.3199999999999998</v>
    <v>0.6663</v>
    <v>B3 - Brazil Stock Exchange</v>
    <v>101983700</v>
    <v>RNI Negócios Imobiliários SA, anteriormente Rodobens Negócios Imobiliários SA, é uma empresa brasileira dedicada ao setor imobiliáiro A Companhia atua na compra e venda de imóveis; subdivisão de terrenos; desenvolvimento e construção de imóveis; prestação de serviços a terceiros e administração de carteira de recebíveis hipotecários próprios ou de terceiros. A Companhia possui várias subsidiárias, incluindo Moradas Rodobens Real Estate Company - Lages III - SPE Ltda, Rodobens Incorporadora Imobiliária 318 - SPE Ltda, Rodobens Moradas Incorporadora Imobiliária - Pacatuba I - SPE Ltda, Sistema Fácil Campinas I SPE Ltda, Sistema Fácil Tambore 8 Villaggio SPE Ltda e Terra Nova Residência XVIII - SPE Ltda.</v>
    <v>BVMF</v>
    <v>2.33</v>
    <v>296</v>
    <v>45850</v>
    <v>685</v>
    <v>3480</v>
    <v>BRL</v>
    <v>RNI Negócios Imobiliários S.A.</v>
    <v>RNI Negócios Imobiliários S.A.</v>
    <v>2.33</v>
    <v>2.3199999999999998</v>
    <v>Av. Francisco das Chagas de Oliveira, 2.500, SAO JOSE DO RIO PRETO, SAO PAULO, 15.085-485 BR</v>
    <v>Real Estate Operations</v>
    <v>RDNI3</v>
    <v>Ações</v>
    <v>RNI Negócios Imobiliários S.A. (BVMF:RDNI3)</v>
    <v>-0.01</v>
    <v>-4.2920000000000007E-3</v>
    <v>3800</v>
  </rv>
  <rv s="2">
    <v>686</v>
  </rv>
  <rv s="0">
    <v>https://www.bing.com/financeapi/forcetrigger?t=aywh77&amp;q=BVMF%3aPCAR3&amp;form=skydnc</v>
    <v>Learn more on Bing</v>
  </rv>
  <rv s="8">
    <v>pt-BR</v>
    <v>aywh77</v>
    <v>268435456</v>
    <v>1</v>
    <v>Da plataforma Refinitiv</v>
    <v>14</v>
    <v>15</v>
    <v>Companhia Brasileira de Distribuição S.A. (BVMF:PCAR3)</v>
    <v>12</v>
    <v>17</v>
    <v>Finance</v>
    <v>5</v>
    <v>4.95</v>
    <v>2.1800000000000002</v>
    <v>BVMF</v>
    <v>490392000</v>
    <v>3.25</v>
    <v>1981</v>
    <v>3.08</v>
    <v>2.0495000000000001</v>
    <v>B3 - Brazil Stock Exchange</v>
    <v>1574158320</v>
    <v>A Companhia Brasileira de Distribuicao SA é uma empresa brasileira de e-commerce de alimentos. As atividades da Companhia são realizadas através de um segmento operacional - varejo. A gama de produtos alimentares inclui alimentos não perecíveis, bebidas, frutas, legumes, carnes em geral, pães, frios, laticínios, produtos de limpeza, produtos descartáveis, bem como produtos de higiene pessoal. A Companhia também comercializa, em menor grau, produtos não alimentares, incluindo roupas, utensílios domésticos e eletrônicos. A Companhia Brasileira de Distribuicao reúne marcas como Compre Bem, Extra e Pao de Acucar, além das marcas de marca própria Qualita, Taeq, Club des Sommeliers. A Companhia opera mais de 800 lojas físicas.</v>
    <v>BVMF</v>
    <v>3.16</v>
    <v>110000</v>
    <v>45849.838870589847</v>
    <v>688</v>
    <v>8361980</v>
    <v>BRL</v>
    <v>Companhia Brasileira de Distribuição S.A.</v>
    <v>Companhia Brasileira de Distribuição S.A.</v>
    <v>3.16</v>
    <v>3.21</v>
    <v>Avenida Brigadeiro Luis Antonio, 3142, Jardim Paulista, SAO PAULO, SAO PAULO, 01.402-901 BR</v>
    <v>Food &amp; Drug Retailing</v>
    <v>PCAR3</v>
    <v>Ações</v>
    <v>Companhia Brasileira de Distribuição S.A. (BVMF:PCAR3)</v>
    <v>0.05</v>
    <v>1.5823E-2</v>
    <v>7648200</v>
  </rv>
  <rv s="2">
    <v>689</v>
  </rv>
  <rv s="0">
    <v>https://www.bing.com/financeapi/forcetrigger?t=bwihur&amp;q=BVMF%3aCASH3&amp;form=skydnc</v>
    <v>Learn more on Bing</v>
  </rv>
  <rv s="8">
    <v>pt-BR</v>
    <v>bwihur</v>
    <v>268435456</v>
    <v>1</v>
    <v>Da plataforma Refinitiv</v>
    <v>14</v>
    <v>15</v>
    <v>MÉLIUZ S.A. (BVMF:CASH3)</v>
    <v>12</v>
    <v>16</v>
    <v>Finance</v>
    <v>5</v>
    <v>10.34</v>
    <v>2.4</v>
    <v>BVMF</v>
    <v>112751400</v>
    <v>7.44</v>
    <v>2011</v>
    <v>6.98</v>
    <v>1.8791</v>
    <v>B3 - Brazil Stock Exchange</v>
    <v>830978100</v>
    <v>A Meliuz SA é uma provedora de serviços Iinternet sediada no Brasil. Por meio da plataforma digital, a empresa oferece cupons de desconto gratuitos de mais de 800 parceiros, incluindo lojas online brasileiras, bem como empresas envolvidas em turismo, lazer, educação, transporte, seguros, viagens, turismo, viagens, viagens, viagens, viagens, viagens, viagens, etc. gastronomia e outros serviços. A Meliuz também presta serviços financeiros, como cartões de crédito, emitidos em parceria com a BancoPan SA, e programas de reembolso, devolvendo parte de um valor gasto em compras diretamente nas contas bancárias dos consumidores. A plataforma da Empresa consiste em um portal/site, um aplicativo móvel e um plugin de extensão para navegadores Chrome e Firefox.</v>
    <v>BVMF</v>
    <v>6.72</v>
    <v>470</v>
    <v>45850</v>
    <v>691</v>
    <v>2946220</v>
    <v>BRL</v>
    <v>MÉLIUZ S.A.</v>
    <v>MÉLIUZ S.A.</v>
    <v>7.18</v>
    <v>7.33</v>
    <v>Rua Jose Versolato, n 111-B Sala 3014, Bairro Carmo, Belo Horizonte, MINAS GERAIS, 30.310-030 BR</v>
    <v>Software &amp; IT Services</v>
    <v>CASH3</v>
    <v>Ações</v>
    <v>MÉLIUZ S.A. (BVMF:CASH3)</v>
    <v>0.61</v>
    <v>9.0774000000000007E-2</v>
    <v>10220000</v>
  </rv>
  <rv s="2">
    <v>692</v>
  </rv>
  <rv s="0">
    <v>https://www.bing.com/financeapi/forcetrigger?t=apmkcw&amp;q=BVMF%3aFHER3&amp;form=skydnc</v>
    <v>Learn more on Bing</v>
  </rv>
  <rv s="8">
    <v>pt-BR</v>
    <v>apmkcw</v>
    <v>268435456</v>
    <v>1</v>
    <v>Da plataforma Refinitiv</v>
    <v>14</v>
    <v>15</v>
    <v>FERTILIZANTES HERINGER S.A. (BVMF:FHER3)</v>
    <v>12</v>
    <v>17</v>
    <v>Finance</v>
    <v>5</v>
    <v>10.5</v>
    <v>3.03</v>
    <v>BVMF</v>
    <v>53857280</v>
    <v>4.43</v>
    <v>1968</v>
    <v>4.0599999999999996</v>
    <v>0.51329999999999998</v>
    <v>B3 - Brazil Stock Exchange</v>
    <v>224584900</v>
    <v>A Fertilizantes Heringer S.A. é uma empresa estabelecida no Brasil, que se dedica principalmente à produção, ao marketing e à distribuição de fertilizantes sob a marca Heringer. A empresa estrutura seus negócios em dois segmentos: industrial, que consiste na fábrica de ácido sulfúrico e superfosfato simples, e segmento de misturas, que inclui unidades de produção de misturas de fertilizantes. Em 31 de dezembro de 2011, a empresa operava 19 unidades de produção de mistura de fertilizantes. Os produtos da empresa são usados no setor de produção de safra, inclusive na agricultura de cana, soja, milho e café, dentre outros. Por meio de sua subsidiária Logfert Transportes S.A., a empresa também dedica-se a operações de transporte rodoviário. Em 4 de janeiro de 2012, ela adquiriu a Maxifertil Fertilizantes Ltda., localizada no município de Porto Alegre. Em 29 de junho de 2012, a empresa concluiu uma operação de fusão ao incorporar sua subsidiária Maxifertil Fertilizantes Ltda.</v>
    <v>BVMF</v>
    <v>4.4800000000000004</v>
    <v>1466</v>
    <v>45849.838194767966</v>
    <v>694</v>
    <v>29140</v>
    <v>BRL</v>
    <v>FERTILIZANTES HERINGER S.A.</v>
    <v>FERTILIZANTES HERINGER S.A.</v>
    <v>4.43</v>
    <v>4.17</v>
    <v>Avenida Irene Karcher, 620, n/a, Betel, PAULINIA, SAO PAULO, 13.148-906 BR</v>
    <v>Chemicals</v>
    <v>FHER3</v>
    <v>Ações</v>
    <v>FERTILIZANTES HERINGER S.A. (BVMF:FHER3)</v>
    <v>-0.31</v>
    <v>-6.9195999999999994E-2</v>
    <v>25800</v>
  </rv>
  <rv s="2">
    <v>695</v>
  </rv>
  <rv s="0">
    <v>https://www.bing.com/financeapi/forcetrigger?t=apmngh&amp;q=BVMF%3aGFSA3&amp;form=skydnc</v>
    <v>Learn more on Bing</v>
  </rv>
  <rv s="8">
    <v>pt-BR</v>
    <v>apmngh</v>
    <v>268435456</v>
    <v>1</v>
    <v>Da plataforma Refinitiv</v>
    <v>14</v>
    <v>15</v>
    <v>Gafisa S.A. (BVMF:GFSA3)</v>
    <v>12</v>
    <v>17</v>
    <v>Finance</v>
    <v>5</v>
    <v>82.8</v>
    <v>17.52</v>
    <v>BVMF</v>
    <v>10766050</v>
    <v>19.989999999999998</v>
    <v>1996</v>
    <v>18.29</v>
    <v>1.8805000000000001</v>
    <v>B3 - Brazil Stock Exchange</v>
    <v>134508312</v>
    <v>A Gafisa S.A. é uma construtora nacional diversificada. Os segmentos da empresa são Gafisa (para empreendimentos voltados para alta e média renda) e Tenda (para empreendimentos voltados para baixa renda). As marcas da empresa incluem a Tenda, que atende os segmentos de habitação a preços acessíveis, a Gafisa, que oferece uma variedade de opções residenciais para os segmentos de alta e média renda, e a Alphaville (investimento em equivalência patrimonial), que se concentra na identificação, desenvolvimento e venda de comunidades residenciais. Além disso, presta serviços de construção para terceiros em alguns desenvolvimentos no segmento Gafisa, no qual mantém uma participação acionária. Suas atividades no setor imobiliário incluem desenvolvimentos para venda de unidades residenciais, subdivisões de terra e edifícios comerciais, serviços de construção e venda de unidades por meio de suas subsidiárias de corretagem, a Gafisa Vendas Intermediação Imobiliária Ltda. e a Gafisa Vendas no Rio de Janeiro, conjuntamente referidas como Gafisa Vendas.</v>
    <v>BVMF</v>
    <v>18.53</v>
    <v>295</v>
    <v>45849.916261574072</v>
    <v>697</v>
    <v>265230</v>
    <v>BRL</v>
    <v>Gafisa S.A.</v>
    <v>Gafisa S.A.</v>
    <v>18.34</v>
    <v>19.989999999999998</v>
    <v>Av. Pres. Juscelino Kubitschek, 1830, conjunto comercial 32, 3 andar, Bloco 2, Itaim Bibi, SAO PAULO, SAO PAULO, 04.543-900 BR</v>
    <v>Real Estate Operations</v>
    <v>GFSA3</v>
    <v>Ações</v>
    <v>Gafisa S.A. (BVMF:GFSA3)</v>
    <v>1.46</v>
    <v>7.8791E-2</v>
    <v>328500</v>
  </rv>
  <rv s="2">
    <v>698</v>
  </rv>
  <rv s="0">
    <v>https://www.bing.com/financeapi/forcetrigger?t=apmr52&amp;q=BVMF%3aHYPE3&amp;form=skydnc</v>
    <v>Learn more on Bing</v>
  </rv>
  <rv s="8">
    <v>pt-BR</v>
    <v>apmr52</v>
    <v>268435456</v>
    <v>1</v>
    <v>Da plataforma Refinitiv</v>
    <v>14</v>
    <v>15</v>
    <v>Hypera S.A. (BVMF:HYPE3)</v>
    <v>12</v>
    <v>17</v>
    <v>Finance</v>
    <v>5</v>
    <v>30.81</v>
    <v>15.94</v>
    <v>BVMF</v>
    <v>633420800</v>
    <v>27.33</v>
    <v>2001</v>
    <v>26.61</v>
    <v>1.1223000000000001</v>
    <v>B3 - Brazil Stock Exchange</v>
    <v>17108700000</v>
    <v>A Hypera SA, anteriormente Hypermarcas SA, é uma empresa sediada no Brasil que atua no setor farmacêutico. As principais unidades de negócio da Companhia incluem Prescrição de Marca, Saúde do Consumidor e Genéricos de Marca. A prescrição de marca está presente nas principais classes terapêuticas no Brasil e atua no segmento de Cuidados Primários sob a marca Mantecorp Farmasa. A unidade de prescrição de marca também atua como Mantecorp Skincare em dermocosméticos, com produtos recomendados por dermatologistas. A saúde do consumidor oferece medicamentos não-prescritos, com marcas como Apracur, Benegrip, Coristina d, Engov, epocler e Estomazil, entre outros. A unidade de Saúde do Consumidor também atua em suplementos nutricionais e vitamínicos, com marcas como Tamarine, Vitasay, Biotonico Fontoura e Zero-Cal.A Genéricos de Marca opera sob a marca Neo Quimica.</v>
    <v>BVMF</v>
    <v>27.09</v>
    <v>9000</v>
    <v>45849.838194582815</v>
    <v>700</v>
    <v>2155850</v>
    <v>BRL</v>
    <v>Hypera S.A.</v>
    <v>Hypera S.A.</v>
    <v>27.04</v>
    <v>27.01</v>
    <v>Rua Nova Cidade, 404, Vila Olimpia, SAO PAULO, SAO PAULO, 04.547-070 BR</v>
    <v>Pharmaceuticals</v>
    <v>HYPE3</v>
    <v>Ações</v>
    <v>Hypera S.A. (BVMF:HYPE3)</v>
    <v>-0.08</v>
    <v>-2.9529999999999999E-3</v>
    <v>1416500</v>
  </rv>
  <rv s="2">
    <v>701</v>
  </rv>
  <rv s="0">
    <v>https://www.bing.com/financeapi/forcetrigger?t=bwh3vh&amp;q=BVMF%3aENJU3&amp;form=skydnc</v>
    <v>Learn more on Bing</v>
  </rv>
  <rv s="8">
    <v>pt-BR</v>
    <v>bwh3vh</v>
    <v>268435456</v>
    <v>1</v>
    <v>Da plataforma Refinitiv</v>
    <v>14</v>
    <v>15</v>
    <v>ENJOEI S.A. (BVMF:ENJU3)</v>
    <v>12</v>
    <v>17</v>
    <v>Finance</v>
    <v>5</v>
    <v>2.35</v>
    <v>0.91</v>
    <v>BVMF</v>
    <v>205018000</v>
    <v>1.0900000000000001</v>
    <v>2012</v>
    <v>1.04</v>
    <v>1.7839</v>
    <v>B3 - Brazil Stock Exchange</v>
    <v>223469600</v>
    <v>A Enjoei SA, anteriormente conhecida como Enjoei.com.br Atividades de Internet SA, é uma empresa sediada no Brasil que atua na área de serviços de e-commerce. A empresa atua como operador de mercado online, através da plataforma digital enjoei.com.br. A Empresa permite que os usuários vendam e comprem bens usados, tais como vestuário, sapatos, acessórios, móveis, etc. aparelhos de cozinha, telefones, fones de ouvido, jogos e computadores, entre outros. Os clientes criam uma conta, fazem upload de fotos de produtos para venda, categorizam-os e fornecem descrição, preço e outras informações necessárias. A plataforma oferece soluções de entrega e pagamento e funcionalidades adicionais como capacidade de conversar e negociar o preço com o vendedor. Além disso, os usuários podem navegar pelo conteúdo por filtros, como preço, marca, cor, frete e condição do produto.</v>
    <v>BVMF</v>
    <v>1.06</v>
    <v>76</v>
    <v>45849.838194756252</v>
    <v>703</v>
    <v>1144180</v>
    <v>BRL</v>
    <v>ENJOEI S.A.</v>
    <v>ENJOEI S.A.</v>
    <v>1.07</v>
    <v>1.0900000000000001</v>
    <v>Av. Presidente Juscelino Kubitschek, 1830 12 Andar, Torre 4, Vila Nova Conceicao, Sao Paulo, SAO PAULO, 04.543-900 BR</v>
    <v>Software &amp; IT Services</v>
    <v>ENJU3</v>
    <v>Ações</v>
    <v>ENJOEI S.A. (BVMF:ENJU3)</v>
    <v>0.03</v>
    <v>2.8302000000000001E-2</v>
    <v>954000</v>
  </rv>
  <rv s="2">
    <v>704</v>
  </rv>
  <rv s="0">
    <v>https://www.bing.com/financeapi/forcetrigger?t=c2yvmw&amp;q=BVMF%3aRAIZ4&amp;form=skydnc</v>
    <v>Learn more on Bing</v>
  </rv>
  <rv s="8">
    <v>pt-BR</v>
    <v>c2yvmw</v>
    <v>268435456</v>
    <v>1</v>
    <v>Da plataforma Refinitiv</v>
    <v>14</v>
    <v>15</v>
    <v>Raízen S.A. (BVMF:RAIZ4)</v>
    <v>12</v>
    <v>17</v>
    <v>Finance</v>
    <v>5</v>
    <v>3.4</v>
    <v>1.52</v>
    <v>BVMF</v>
    <v>1358937000</v>
    <v>1.57</v>
    <v>1961</v>
    <v>1.52</v>
    <v>1.1595</v>
    <v>B3 - Brazil Stock Exchange</v>
    <v>2092762980</v>
    <v>A Raízen SA, anteriormente conhecida como Raízen Combustiveis SA, é uma empresa com sede no Brasil que atua no setor de energia. As atividades da Empresa são divididas em quatro linhas de negócios: Renováveis, Marketing e Serviços, Proximidade e Açúcar. A divisão Renewables atua na produção de etanol, etanol de segunda geração, bioeletricidade, biogás e bioprodutos. A divisão de Marketing e Serviços está focada na distribuição e venda de combustíveis para postos de gasolina da Shell, aeroportos e outros clientes Business-to-Business (B2B). A divisão Proximity está envolvida na operação de lojas de conveniência sob as marcas OXXO e Shell Select. A divisão Açúcar consiste na produção de açúcar, como cristalino, líquido, refinado, orgânico e Polarização Muito Alta (VHP), entre outros. A empresa atua no Brasil e na Argentina.</v>
    <v>BVMF</v>
    <v>1.58</v>
    <v>45417</v>
    <v>45849.838194710159</v>
    <v>706</v>
    <v>11193380</v>
    <v>BRL</v>
    <v>Raízen S.A.</v>
    <v>Raízen S.A.</v>
    <v>1.57</v>
    <v>1.54</v>
    <v>Avenida Afonso Arinos de Melo Franco, 222. Sala 321, Barra da Tijuca, RIO DE JANEIRO, RIO DE JANEIRO, 22.631-455 BR</v>
    <v>Oil &amp; Gas</v>
    <v>RAIZ4</v>
    <v>Ações</v>
    <v>Raízen S.A. (BVMF:RAIZ4)</v>
    <v>-0.04</v>
    <v>-2.5316000000000002E-2</v>
    <v>11523000</v>
  </rv>
  <rv s="2">
    <v>707</v>
  </rv>
  <rv s="0">
    <v>https://www.bing.com/financeapi/forcetrigger?t=aplygh&amp;q=BVMF%3aBBAS3&amp;form=skydnc</v>
    <v>Learn more on Bing</v>
  </rv>
  <rv s="8">
    <v>pt-BR</v>
    <v>aplygh</v>
    <v>268435456</v>
    <v>1</v>
    <v>Da plataforma Refinitiv</v>
    <v>14</v>
    <v>15</v>
    <v>Banco do Brasil S.A. (BVMF:BBAS3)</v>
    <v>12</v>
    <v>16</v>
    <v>Finance</v>
    <v>5</v>
    <v>29.49</v>
    <v>20.82</v>
    <v>BVMF</v>
    <v>5730834000</v>
    <v>21.24</v>
    <v>1808</v>
    <v>20.82</v>
    <v>0.97629999999999995</v>
    <v>B3 - Brazil Stock Exchange</v>
    <v>121493680800</v>
    <v>O BANCO DO BRASIL S.A. é uma empresa brasileira dedicada sobretudo ao setor financeiro. As atividades da Empresa estão divididas em cinco segmentos: bancário, investimentos, gestão de ativos, segurança e tipos de pagamento. O Banco também participa de outras atividades econômicas, como leasing e suporte operacional. O Banco tem clientes individuais e corporativos. Oferece uma variedade de produtos e serviços financeiros, como depósitos, contas poupança, gestão de ativos, empréstimos, e seguros de saúde, de vida e patrimonial. Além disso, oferece transações financeiras em várias formas, incluindo operações cambiais e atividades complementares, com ênfase na previdência privada, capitalização, valores mobiliários, corretagem, administração de cartões de crédito e de débito, consórcios, fundos de investimento e portfólios de gestão. O BANCO DO BRASIL S.A. atua nos mercados nacional e internacional.</v>
    <v>BVMF</v>
    <v>21.21</v>
    <v>85953</v>
    <v>45850</v>
    <v>709</v>
    <v>24899340</v>
    <v>BRL</v>
    <v>Banco do Brasil S.A.</v>
    <v>Banco do Brasil S.A.</v>
    <v>21.18</v>
    <v>21.2</v>
    <v>Saun Quadra 05, Lote B Ed. BB, Asa Norte, BRASILIA, DISTRITO FEDERAL, 70.040-912 BR</v>
    <v>Banking Services</v>
    <v>BBAS3</v>
    <v>Ações</v>
    <v>Banco do Brasil S.A. (BVMF:BBAS3)</v>
    <v>-0.01</v>
    <v>-4.7149999999999997E-4</v>
    <v>26044900</v>
  </rv>
  <rv s="2">
    <v>710</v>
  </rv>
  <rv s="0">
    <v>https://www.bing.com/financeapi/forcetrigger?t=apm5tc&amp;q=BVMF%3aEPAR3&amp;form=skydnc</v>
    <v>Learn more on Bing</v>
  </rv>
  <rv s="9">
    <v>pt-BR</v>
    <v>apm5tc</v>
    <v>268435456</v>
    <v>1</v>
    <v>Da plataforma Refinitiv</v>
    <v>18</v>
    <v>19</v>
    <v>EMBPAR PARTICIPAÇÕES S/A (BVMF:EPAR3)</v>
    <v>12</v>
    <v>27</v>
    <v>Finance</v>
    <v>5</v>
    <v>5.3</v>
    <v>3.51</v>
    <v>BVMF</v>
    <v>14860570</v>
    <v>4.93</v>
    <v>1974</v>
    <v>4.88</v>
    <v>0.38819999999999999</v>
    <v>B3 - Brazil Stock Exchange</v>
    <v>72816793</v>
    <v>A Embpar Participações SA, anteriormente conhecida como Battistella Administracao e Participações SA, é uma holding sediada no Brasil que atua principalmente no comércio de veículos pesados. A Companhia divide seus negócios em duas áreas: Veículos Pesados e Silvicultura. No segmento de Veículos Pesados, a empresa atua através da subsidiária Cotrasa Veiculos e Servicos Ltda, que atua na revenda de veículos pesados e acessórios da marca Scania, bem como na prestação de assistência técnica, atendendo clientes no Estado do Paraná. No segmento Florestal, a Companhia está envolvida no comércio de madeira, florestamento e reflorestamento, bem como na fabricação e comercialização de produtos de madeira, como madeira serrada, serragem e cavacos. A madeira e seus derivados são oferecidos aos mercados interno e externo.</v>
    <v>BVMF</v>
    <v>4.9000000000000004</v>
    <v>45849.830092592594</v>
    <v>712</v>
    <v>2500</v>
    <v>BRL</v>
    <v>EMBPAR PARTICIPAÇÕES S/A</v>
    <v>EMBPAR PARTICIPAÇÕES S/A</v>
    <v>4.88</v>
    <v>4.9000000000000004</v>
    <v>Alameda Bom Pastor, 3700,Lote A, Sala 06, Barro Preto, SAO JOSE DOS PINHAIS, PARANA, 83.015-140 BR</v>
    <v>Automobiles &amp; Auto Parts</v>
    <v>EPAR3</v>
    <v>Ações</v>
    <v>EMBPAR PARTICIPAÇÕES S/A (BVMF:EPAR3)</v>
    <v>0</v>
    <v>0</v>
    <v>4600</v>
  </rv>
  <rv s="2">
    <v>713</v>
  </rv>
  <rv s="0">
    <v>https://www.bing.com/financeapi/forcetrigger?t=apm7dm&amp;q=BVMF%3aSYNE3&amp;form=skydnc</v>
    <v>Learn more on Bing</v>
  </rv>
  <rv s="9">
    <v>pt-BR</v>
    <v>apm7dm</v>
    <v>268435456</v>
    <v>1</v>
    <v>Da plataforma Refinitiv</v>
    <v>18</v>
    <v>19</v>
    <v>SYN prop e tech S.A. (BVMF:SYNE3)</v>
    <v>12</v>
    <v>27</v>
    <v>Finance</v>
    <v>5</v>
    <v>6.66</v>
    <v>3.59</v>
    <v>BVMF</v>
    <v>152644400</v>
    <v>6.15</v>
    <v>2007</v>
    <v>6.02</v>
    <v>0.80730000000000002</v>
    <v>B3 - Brazil Stock Exchange</v>
    <v>921972176</v>
    <v>A SYN PROP e Tech SA, anteriormente conhecida como Cyrela Commercial Properties SA Empreendimentos e Participações, é uma empresa brasileira envolvida no setor imobiliário. A Companhia se concentra no desenvolvimento, comércio e gestão de propriedades comerciais no Brasil. Suas atividades são divididas em cinco segmentos de negócio: Edifícios comerciais, que consiste na venda e locação de imóveis de escritórios completos; Desenvolvimento Imobiliário, que está envolvido na venda de unidades de escritórios em construção; Armazéns, que oferece locação de armazéns industriais; Shopping centers, que é responsável pelo arrendamento de lojas em shopping centers; e Serviços, que fornece gerenciamento de shoppings e estacionamentos, bem como desenvolvimento de imóveis. A Companhia possui uma série de subsidiárias, como Aquarius Empreendimentos e Participações Ltda, Millennium de Investimentos Imobiliarios Ltda e Miconia Empreendimentos Imobiliarios Ltda, entre outras.</v>
    <v>BVMF</v>
    <v>6.09</v>
    <v>45849.838606446094</v>
    <v>715</v>
    <v>526470</v>
    <v>BRL</v>
    <v>SYN prop e tech S.A.</v>
    <v>SYN prop e tech S.A.</v>
    <v>6.03</v>
    <v>6.04</v>
    <v>Avenida Brigadeiro Faria Lima, 3.600 Conj. 141 e 142, Itaim Bibi, SAO PAULO, SAO PAULO, 04.538-132 BR</v>
    <v>Real Estate Operations</v>
    <v>SYNE3</v>
    <v>Ações</v>
    <v>SYN prop e tech S.A. (BVMF:SYNE3)</v>
    <v>-0.05</v>
    <v>-8.2100000000000003E-3</v>
    <v>293600</v>
  </rv>
  <rv s="2">
    <v>716</v>
  </rv>
  <rv s="0">
    <v>https://www.bing.com/financeapi/forcetrigger?t=apmz27&amp;q=BVMF%3aMRVE3&amp;form=skydnc</v>
    <v>Learn more on Bing</v>
  </rv>
  <rv s="8">
    <v>pt-BR</v>
    <v>apmz27</v>
    <v>268435456</v>
    <v>1</v>
    <v>Da plataforma Refinitiv</v>
    <v>14</v>
    <v>15</v>
    <v>MRV ENGENHARIA E PARTICIPACOES S.A. (BVMF:MRVE3)</v>
    <v>12</v>
    <v>16</v>
    <v>Finance</v>
    <v>5</v>
    <v>8.2200000000000006</v>
    <v>4.43</v>
    <v>BVMF</v>
    <v>562826700</v>
    <v>6.23</v>
    <v>2006</v>
    <v>5.89</v>
    <v>1.6616</v>
    <v>B3 - Brazil Stock Exchange</v>
    <v>3427615000</v>
    <v>A MRV Engenharia e Participações S/A é uma empresa estabelecida no Brasil, que atua no desenvolvimento do setor imobiliário. As atividades da empresa dividem-se em três segmentos de negócios: empreendimentos imobiliários (residenciais), operando em desenvolvimento, construção e venda de imóveis próprios e de terceiros; imóveis de investimentos (LOG), voltado para construção e aluguel, sob arrendamentos operacionais, de armazéns industriais, shopping e strip malls (pequenos centros comerciais), bem como loteamento e venda terrenos industriais, além de loteamentos urbanos (Urbamais), responsável pelo desenvolvimento e pela venda de loteamentos de terrenos urbanos residenciais e comerciais. O desenvolvimento de projetos e as obras da empresa são realizados diretamente pela própria ou por meio de suas parcerias e entidades com finalidade especial. Suas subsidiárias incluem a MDI Desenvolvimento Imobiliário Ltda., MRV Construções Ltda. e Urbamais Propriedades e Participações S.A., dentre outras.</v>
    <v>BVMF</v>
    <v>5.91</v>
    <v>30000</v>
    <v>45850</v>
    <v>718</v>
    <v>7669130</v>
    <v>BRL</v>
    <v>MRV ENGENHARIA E PARTICIPACOES S.A.</v>
    <v>MRV ENGENHARIA E PARTICIPACOES S.A.</v>
    <v>5.89</v>
    <v>6.12</v>
    <v>Avenida Professor Mario Werneck,621, Estoril, BELO HORIZONTE, MINAS GERAIS, 30.455-610 BR</v>
    <v>Real Estate Operations</v>
    <v>MRVE3</v>
    <v>Ações</v>
    <v>MRV ENGENHARIA E PARTICIPACOES S.A. (BVMF:MRVE3)</v>
    <v>0.21</v>
    <v>3.5533000000000002E-2</v>
    <v>16699200</v>
  </rv>
  <rv s="2">
    <v>719</v>
  </rv>
  <rv s="0">
    <v>https://www.bing.com/financeapi/forcetrigger?t=apmypr&amp;q=BVMF%3aMOVI3&amp;form=skydnc</v>
    <v>Learn more on Bing</v>
  </rv>
  <rv s="8">
    <v>pt-BR</v>
    <v>apmypr</v>
    <v>268435456</v>
    <v>1</v>
    <v>Da plataforma Refinitiv</v>
    <v>14</v>
    <v>15</v>
    <v>Movida Participações S.A. (BVMF:MOVI3)</v>
    <v>12</v>
    <v>16</v>
    <v>Finance</v>
    <v>5</v>
    <v>8.92</v>
    <v>3.29</v>
    <v>BVMF</v>
    <v>347931500</v>
    <v>6.9</v>
    <v>2014</v>
    <v>6.18</v>
    <v>1.4943</v>
    <v>B3 - Brazil Stock Exchange</v>
    <v>2174571875</v>
    <v>A Movida Participações S.A. é uma empresa com sede no Brasil que se dedica principalmente ao aluguer de automóveis de passageiros. A Companhia, por meio de suas subsidiárias Movida Locação de Veiculos Ltda e Movida Gestao de Frotas SA, fornece carros dentro de contratos de curto e longo prazos, além de terceirização de frotas para clientes comerciais. Os carros da empresa estão equipados com Sistema de Posicionamento Global (GPS), leitor de música e Internet sem fio, bem como com outras instalações sob demanda, como o assento do bebê. Suas marcas de automóveis incluem Volkswagen, Fiat, Ford, Hyundai, Renault, Jeep, Chevrolet e Mercedes, entre outras. Além disso, a Companhia vende carros usados. A Companhia opera escritórios em várias cidades e perto de aeroportos no Brasil.</v>
    <v>BVMF</v>
    <v>6.91</v>
    <v>6831</v>
    <v>45850</v>
    <v>721</v>
    <v>6601580</v>
    <v>BRL</v>
    <v>Movida Participações S.A.</v>
    <v>Movida Participações S.A.</v>
    <v>6.88</v>
    <v>6.25</v>
    <v>Rua Doutor Renato Paes de Barros, 1017, Conjunto 91, Itaim Bibi, SAO PAULO, SAO PAULO, 04.530-001 BR</v>
    <v>Passenger Transportation Services</v>
    <v>MOVI3</v>
    <v>Ações</v>
    <v>Movida Participações S.A. (BVMF:MOVI3)</v>
    <v>-0.66</v>
    <v>-9.5513999999999988E-2</v>
    <v>10052500</v>
  </rv>
  <rv s="2">
    <v>722</v>
  </rv>
  <rv s="0">
    <v>https://www.bing.com/financeapi/forcetrigger?t=aplxmw&amp;q=BVMF%3aAZEV4&amp;form=skydnc</v>
    <v>Learn more on Bing</v>
  </rv>
  <rv s="9">
    <v>pt-BR</v>
    <v>aplxmw</v>
    <v>268435456</v>
    <v>1</v>
    <v>Da plataforma Refinitiv</v>
    <v>18</v>
    <v>19</v>
    <v>AZEVEDO &amp; TRAVASSOS S.A. (BVMF:AZEV4)</v>
    <v>12</v>
    <v>20</v>
    <v>Finance</v>
    <v>5</v>
    <v>1.91</v>
    <v>0.53</v>
    <v>BVMF</v>
    <v>592753700</v>
    <v>0.66</v>
    <v>1922</v>
    <v>0.57999999999999996</v>
    <v>1.0603</v>
    <v>B3 - Brazil Stock Exchange</v>
    <v>345685200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0.59</v>
    <v>45850</v>
    <v>724</v>
    <v>5614700</v>
    <v>BRL</v>
    <v>AZEVEDO &amp; TRAVASSOS S.A.</v>
    <v>AZEVEDO &amp; TRAVASSOS S.A.</v>
    <v>0.6</v>
    <v>0.64</v>
    <v>Rua Vicente Antonio de Oliveira 1050, Pirituba, SAO PAULO, SAO PAULO, 02.955-080 BR</v>
    <v>Construction &amp; Engineering</v>
    <v>AZEV4</v>
    <v>Ações</v>
    <v>AZEVEDO &amp; TRAVASSOS S.A. (BVMF:AZEV4)</v>
    <v>0.05</v>
    <v>8.4746000000000002E-2</v>
    <v>5337300</v>
  </rv>
  <rv s="2">
    <v>725</v>
  </rv>
  <rv s="0">
    <v>http://fr.wikipedia.org/wiki/Companhia_Siderúrgica_Nacional</v>
    <v>Wikipedia</v>
  </rv>
  <rv s="10">
    <v>358</v>
    <v>727</v>
  </rv>
  <rv s="11">
    <v>26</v>
    <v>https://www.bing.com/th?id=AMMS_e8b96267310f0adc32724679940e7adf&amp;qlt=95</v>
    <v>728</v>
    <v>0</v>
    <v>https://www.bing.com/images/search?form=xlimg&amp;q=companhia+sider%c3%bargica+nacional</v>
    <v>Image of Companhia Siderúrgica Nacional S. A.</v>
  </rv>
  <rv s="0">
    <v>https://www.bing.com/financeapi/forcetrigger?t=apmcoc&amp;q=BVMF%3aCSNA3&amp;form=skydnc</v>
    <v>Learn more on Bing</v>
  </rv>
  <rv s="12">
    <v>pt-BR</v>
    <v>apmcoc</v>
    <v>268435456</v>
    <v>1</v>
    <v>Da plataforma Refinitiv</v>
    <v>21</v>
    <v>22</v>
    <v>Companhia Siderúrgica Nacional S. A. (BVMF:CSNA3)</v>
    <v>24</v>
    <v>34</v>
    <v>Finance</v>
    <v>5</v>
    <v>13.18</v>
    <v>7.24</v>
    <v>BVMF</v>
    <v>1326094000</v>
    <v>8.3699999999999992</v>
    <v>1941</v>
    <v>8.11</v>
    <v>1.4132</v>
    <v>B3 - Brazil Stock Exchange</v>
    <v>10927014560</v>
    <v>A Companhia Siderurgica Nacional SA é uma empresa sediada no Brasil. Atua em cinco setores estratégicos da economia: Siderurgia, mineração, logística, cimento e energia. O setor siderúrgico da Companhia atua em toda a cadeia produtiva do aço, desde a extração de minério de ferro até a produção e venda de uma gama diversificada de produtos siderúrgicos, incluindo chapas revestidas, aço galvanizado, aço pré-pintado, chapas metálicas e produtos de aço longos (vergalhões e haste de arame). O setor mineiro é responsável pela exportação de minério de ferro. O setor do cimento é responsável pela produção do cimento. O setor logístico oferece serviços integrados de logística (rodoviário, ferroviário, portuário), enquanto o setor energético gerencia a Usina de Cogeração Térmica instalada nas siderúrgicas Presidente Vargas em Volta Redonda e as hidrelétricas de Itaand Igarapava.</v>
    <v>BVMF</v>
    <v>8.33</v>
    <v>24924</v>
    <v>45850</v>
    <v>729</v>
    <v>730</v>
    <v>8075910</v>
    <v>BRL</v>
    <v>Companhia Siderúrgica Nacional S. A.</v>
    <v>Companhia Siderúrgica Nacional S. A.</v>
    <v>8.35</v>
    <v>8.24</v>
    <v>Av. Brigadeiro Faria Lima, 3400, 19 andar, Itaim Bibi, SAO PAULO, SAO PAULO, 04.538-132 BR</v>
    <v>Metals &amp; Mining</v>
    <v>CSNA3</v>
    <v>Ações</v>
    <v>Companhia Siderúrgica Nacional S. A. (BVMF:CSNA3)</v>
    <v>-0.09</v>
    <v>-1.0804000000000001E-2</v>
    <v>5409100</v>
  </rv>
  <rv s="2">
    <v>731</v>
  </rv>
  <rv s="0">
    <v>https://www.bing.com/financeapi/forcetrigger?t=apmdhw&amp;q=BVMF%3aCTNM4&amp;form=skydnc</v>
    <v>Learn more on Bing</v>
  </rv>
  <rv s="17">
    <v>pt-BR</v>
    <v>apmdhw</v>
    <v>268435456</v>
    <v>1</v>
    <v>Da plataforma Refinitiv</v>
    <v>43</v>
    <v>44</v>
    <v>Companhia de Tecidos Norte de Minas - COTEMINAS (BVMF:CTNM4)</v>
    <v>12</v>
    <v>45</v>
    <v>Finance</v>
    <v>5</v>
    <v>1.1000000000000001</v>
    <v>0.74</v>
    <v>BVMF</v>
    <v>30636460</v>
    <v>0.86</v>
    <v>1967</v>
    <v>0.86</v>
    <v>1.2020999999999999</v>
    <v>B3 - Brazil Stock Exchange</v>
    <v>113915100</v>
    <v>Companhia de Tecidos Norte de Minas - COTEMINAS é uma empresa brasileira que se dedica principalmente à indústria têxtil. A Empresa está envolvida na produção, comercialização, importação e exportação de fios e tecidos. Por meio da subsidiária SPRINGS GLOBAL PARTICIPAÇÕES S.A., a Empresa atua na produção de artigos de cama e banho, bem como no varejo de produtos têxteis para uso doméstico sob a marca Artex. Por intermédio da subsidiária Oxford Comércio e Participações SA, ela também está envolvida na fabricação e comercialização de tecidos, que são utilizados principalmente em produtos de vestuário, incluindo roupas esportivas, uniformes profissionais e equipamentos de proteção individual (EPI). Em 19 de abril de 2012, a WEMBLEY SOCIEDADE ANÔNIMA era a principal acionista da Empresa, com 22,03% do total das ações.</v>
    <v>BVMF</v>
    <v>0.88</v>
    <v>45519.947916666664</v>
    <v>733</v>
    <v>BRL</v>
    <v>Companhia de Tecidos Norte de Minas - COTEMINAS</v>
    <v>Companhia de Tecidos Norte de Minas - COTEMINAS</v>
    <v>0.86</v>
    <v>0.86</v>
    <v>Avenida Lincoln Alves Dos Santos,955, Distrito Industrial, MONTES CLAROS, MINAS GERAIS, 39.404-005 BR</v>
    <v>Textiles &amp; Apparel</v>
    <v>CTNM4</v>
    <v>Ações</v>
    <v>Companhia de Tecidos Norte de Minas - COTEMINAS (BVMF:CTNM4)</v>
    <v>-0.02</v>
    <v>-2.2727000000000001E-2</v>
    <v>5000</v>
  </rv>
  <rv s="2">
    <v>734</v>
  </rv>
  <rv s="0">
    <v>https://www.bing.com/financeapi/forcetrigger?t=c213gh&amp;q=BVMF%3aIFCM3&amp;form=skydnc</v>
    <v>Learn more on Bing</v>
  </rv>
  <rv s="8">
    <v>pt-BR</v>
    <v>c213gh</v>
    <v>268435456</v>
    <v>1</v>
    <v>Da plataforma Refinitiv</v>
    <v>14</v>
    <v>15</v>
    <v>Infracommerce CXAAS S.A (BVMF:IFCM3)</v>
    <v>12</v>
    <v>17</v>
    <v>Finance</v>
    <v>5</v>
    <v>0.41</v>
    <v>0.04</v>
    <v>BVMF</v>
    <v>1802157000</v>
    <v>0.05</v>
    <v>2020</v>
    <v>0.04</v>
    <v>2.5009999999999999</v>
    <v>B3 - Brazil Stock Exchange</v>
    <v>90107850</v>
    <v>A Infracommerce CXAAS SA é uma empresa de soluções digitais para e-commerce sediada no Brasil. O ecossistema de soluções digitais integradas da Companhia compõe um “white-label digital ecosystem” para marcas e indústrias terem controle sobre suas jornadas de digitalização do go-to-market por meio de uma experiência ao consumidor. A Companhia possui operações no México, Colômbia, Peu, Chile, Argentina e Uruguai, e é responsável pela operação do ecommerce de empresas como Ambev, Nike, Samsung, Motorola, Diageo, Unilever, entre outras. O ecossistema de soluções digitais integradas da Companhia permite uma atuação de forma modular, composta pelas seguintes verticais: infra.digital, infra.shop, infra.data, infra.pay e infra.log. As verticais têm como foco, respectivamente, a otimização da experiência, tecnologia omnichannel completa, uso de inteligência artificial e de dados, soluções de pagamento e crédito, e eficiência logística.</v>
    <v>BVMF</v>
    <v>0.05</v>
    <v>2099</v>
    <v>45849.840972245314</v>
    <v>736</v>
    <v>5846460</v>
    <v>BRL</v>
    <v>Infracommerce CXAAS S.A</v>
    <v>Infracommerce CXAAS S.A</v>
    <v>0.05</v>
    <v>0.05</v>
    <v>Av das Nacoes Unidas, 12.901, 32 e 33 andares, Torre Norte CENU, Cidade Moncoes, Sao Paulo, SAO PAULO, 04.578-910 BR</v>
    <v>Software &amp; IT Services</v>
    <v>IFCM3</v>
    <v>Ações</v>
    <v>Infracommerce CXAAS S.A (BVMF:IFCM3)</v>
    <v>0</v>
    <v>0</v>
    <v>3111900</v>
  </rv>
  <rv s="2">
    <v>737</v>
  </rv>
  <rv s="0">
    <v>https://www.bing.com/financeapi/forcetrigger?t=azs2pr&amp;q=BVMF%3aHAPV3&amp;form=skydnc</v>
    <v>Learn more on Bing</v>
  </rv>
  <rv s="9">
    <v>pt-BR</v>
    <v>azs2pr</v>
    <v>268435456</v>
    <v>1</v>
    <v>Da plataforma Refinitiv</v>
    <v>18</v>
    <v>19</v>
    <v>Hapvida Participações e Investimentos S/A (BVMF:HAPV3)</v>
    <v>12</v>
    <v>20</v>
    <v>Finance</v>
    <v>5</v>
    <v>71.25</v>
    <v>29.7</v>
    <v>BVMF</v>
    <v>502630900</v>
    <v>32.880000000000003</v>
    <v>2001</v>
    <v>31.77</v>
    <v>1.6226</v>
    <v>B3 - Brazil Stock Exchange</v>
    <v>16245030000</v>
    <v>Hapvida Participacoes e Investimentos SA (Hapvida) é uma holding brasileira de saúde. A Companhia e suas controladas têm como atividades principais a cobertura de custos de assistência médica, hospitalar e odontológica de seus associados, a prestação de serviços médicos, hospitalares e odontológicos e exames e diagnósticos por imagem. A Hapvida tem diferentes instalações de saúde, como hospitais, clínicas ou unidades de diagnóstico por imagem. A Companhia opera no Nordeste do Brasil, em mais de 10 estados, como Alagoas, Amazonas, Bahia, Pernambuco, Rio Grande do Norte, Sergipe, entre outros.</v>
    <v>BVMF</v>
    <v>33.11</v>
    <v>45850</v>
    <v>739</v>
    <v>5385730</v>
    <v>BRL</v>
    <v>Hapvida Participações e Investimentos S/A</v>
    <v>Hapvida Participações e Investimentos S/A</v>
    <v>32.880000000000003</v>
    <v>32.32</v>
    <v>Avenida Heraclito Graca n 406, Centro, FORTALEZA, CEARA, 60.140-060 BR</v>
    <v>Healthcare Providers &amp; Services</v>
    <v>HAPV3</v>
    <v>Ações</v>
    <v>Hapvida Participações e Investimentos S/A (BVMF:HAPV3)</v>
    <v>-0.79</v>
    <v>-2.3860000000000003E-2</v>
    <v>4998300</v>
  </rv>
  <rv s="2">
    <v>740</v>
  </rv>
  <rv s="0">
    <v>https://www.bing.com/financeapi/forcetrigger?t=bvtfnm&amp;q=BVMF%3aSEQL3&amp;form=skydnc</v>
    <v>Learn more on Bing</v>
  </rv>
  <rv s="9">
    <v>pt-BR</v>
    <v>bvtfnm</v>
    <v>268435456</v>
    <v>1</v>
    <v>Da plataforma Refinitiv</v>
    <v>18</v>
    <v>19</v>
    <v>SEQUOIA LOGÍSTICA E TRANSPORTES S.A. (BVMF:SEQL3)</v>
    <v>12</v>
    <v>27</v>
    <v>Finance</v>
    <v>5</v>
    <v>9.73</v>
    <v>0.92</v>
    <v>BVMF</v>
    <v>50311580</v>
    <v>1.0900000000000001</v>
    <v>1996</v>
    <v>0.99</v>
    <v>1.8154999999999999</v>
    <v>B3 - Brazil Stock Exchange</v>
    <v>54336500</v>
    <v>A Sequoia Logistica e Transportes SA, anteriormente Sequoia Logistica e Transportes Ltda é uma empresa de logística com sede no Brasil. A Empresa oferece serviços abrangentes no segmento de transporte e logística, com foco em entregas expressas. As atividades da Companhia são realizadas através de um segmento operacional: Serviços de logística e transporte. Em relação às soluções de entrega expressa de e-commerce, a Empresa fornece uma gama completa de serviços de transporte e logística de valor agregado, incluindo serviços de última milha de negócio para consumidor (B2C); serviços de menos carga de caminhão (LTL), consistindo de serviços de transporte com capacidade parcial de veículo e serviços de carga completa (FTL), consistindo de serviços de transporte com capacidade total de veículos.</v>
    <v>BVMF</v>
    <v>1.01</v>
    <v>45849.837500138281</v>
    <v>742</v>
    <v>1285730</v>
    <v>BRL</v>
    <v>SEQUOIA LOGÍSTICA E TRANSPORTES S.A.</v>
    <v>SEQUOIA LOGÍSTICA E TRANSPORTES S.A.</v>
    <v>1.02</v>
    <v>1.08</v>
    <v>Alameda Rio Negro, 500 6 Andar, Sala 601, Alphaville, BARUERI, SAO PAULO, 06.454-000 BR</v>
    <v>Freight &amp; Logistics Services</v>
    <v>SEQL3</v>
    <v>Ações</v>
    <v>SEQUOIA LOGÍSTICA E TRANSPORTES S.A. (BVMF:SEQL3)</v>
    <v>7.0000000000000007E-2</v>
    <v>6.9306999999999994E-2</v>
    <v>478400</v>
  </rv>
  <rv s="2">
    <v>743</v>
  </rv>
  <rv s="0">
    <v>https://www.bing.com/financeapi/forcetrigger?t=axx6m7&amp;q=BVMF%3aBKBR3&amp;form=skydnc</v>
    <v>Learn more on Bing</v>
  </rv>
  <rv s="8">
    <v>pt-BR</v>
    <v>axx6m7</v>
    <v>268435456</v>
    <v>1</v>
    <v>Da plataforma Refinitiv</v>
    <v>14</v>
    <v>15</v>
    <v>ZAMP S.A. (BVMF:ZAMP3)</v>
    <v>12</v>
    <v>17</v>
    <v>Finance</v>
    <v>5</v>
    <v>3.74</v>
    <v>2.09</v>
    <v>BVMF</v>
    <v>406934400</v>
    <v>3.38</v>
    <v>2011</v>
    <v>3.3</v>
    <v>1.2003999999999999</v>
    <v>B3 - Brazil Stock Exchange</v>
    <v>1375438272</v>
    <v>A Zamp SA, anteriormente conhecida como BK Brasil Operação e Assessoria a Restaurantes SA, é uma operadora de restaurantes sediada no Brasil com um portfólio de marcas que oferece indulgência e diversidade alimentar. A Companhia opera marcas como Burger King e Popeyes. A sua atividade comercial consiste na importação e exportação de produtos relacionados com a atividade operacional principal dos restaurantes Burger King e Popeyes. Estão incluídos nas ofertas da Companhia alimentos e bebidas do cardápio do Burger King, como cheeseburgers, hambúrgueres de diversos sabores e ofertas premium, como a família Mega Stacker e a Dulce de Leche, anéis de cebola, cachorros-quentes, batatas fritas, frango frito, saladas, refrigerantes, sucos, café e milkshakes, além de bolos e sorvetes.</v>
    <v>BVMF</v>
    <v>3.37</v>
    <v>20000</v>
    <v>45849.838587048434</v>
    <v>745</v>
    <v>250560</v>
    <v>BRL</v>
    <v>ZAMP S.A.</v>
    <v>ZAMP S.A.</v>
    <v>3.38</v>
    <v>3.38</v>
    <v>Al Tocantins 350 Andar 10, Alphaville Centro Industrial E Empresarial/Alphavi, BARUERI, SAO PAULO, 06.455-020 BR</v>
    <v>Hotels &amp; Entertainment Services</v>
    <v>ZAMP3</v>
    <v>Ações</v>
    <v>ZAMP S.A. (BVMF:ZAMP3)</v>
    <v>0.01</v>
    <v>2.967E-3</v>
    <v>872800</v>
  </rv>
  <rv s="2">
    <v>746</v>
  </rv>
  <rv s="0">
    <v>https://www.bing.com/financeapi/forcetrigger?t=apmrur&amp;q=BVMF%3aINEP4&amp;form=skydnc</v>
    <v>Learn more on Bing</v>
  </rv>
  <rv s="8">
    <v>pt-BR</v>
    <v>apmrur</v>
    <v>268435456</v>
    <v>1</v>
    <v>Da plataforma Refinitiv</v>
    <v>14</v>
    <v>15</v>
    <v>Inepar S.A. Indústria e Construções - em Recuperação Judicial (BVMF:INEP4)</v>
    <v>12</v>
    <v>16</v>
    <v>Finance</v>
    <v>5</v>
    <v>2.54</v>
    <v>1.1499999999999999</v>
    <v>BVMF</v>
    <v>44895590</v>
    <v>1.67</v>
    <v>1968</v>
    <v>1.63</v>
    <v>1.9399</v>
    <v>B3 - Brazil Stock Exchange</v>
    <v>86985070</v>
    <v>A Inepar SA Industria e Construcoes em Recuperacao Judicial é uma empresa brasileira. A Companhia está envolvida na criação de soluções integradas, fabricação e fornecimento de equipamentos e serviços para geração, transmissão, distribuição e consumo de energia elétrica; exploração e processamento de petróleo e gás; infraestrutura para movimentação de cargas; transporte ferroviário e metropolitano; implantação e expansão de sistemas de infraestrutura de telecomunicações; participação em consórcios e outras empresas, tanto nacional como internacional, como sócio ou acionista. Estas atividades são realizadas diretamente pela Empresa ou através de empresas controladas ou afiliadas. Além disso, parte da história da Companhia envolve a busca de novos parceiros e mercados, e neste momento, busca parcerias nas áreas de saneamento, manutenção de equipamentos de transporte ferroviário, entre outros.</v>
    <v>BVMF</v>
    <v>1.65</v>
    <v>3216</v>
    <v>45850</v>
    <v>748</v>
    <v>39330</v>
    <v>BRL</v>
    <v>Inepar S.A. Indústria e Construções - em Recuperação Judicial</v>
    <v>Inepar S.A. Indústria e Construções - em Recuperação Judicial</v>
    <v>1.63</v>
    <v>1.65</v>
    <v>Alameda Dr. Carlos de Carvalho n 373,Cjto. 1101 11 andar, Centro, CURITIBA, PARANA, 80.410-180 BR</v>
    <v>Construction &amp; Engineering</v>
    <v>INEP4</v>
    <v>Ações</v>
    <v>Inepar S.A. Indústria e Construções - em Recuperação Judicial (BVMF:INEP4)</v>
    <v>0</v>
    <v>0</v>
    <v>6600</v>
  </rv>
  <rv s="2">
    <v>749</v>
  </rv>
  <rv s="0">
    <v>https://www.bing.com/financeapi/forcetrigger?t=apn2kr&amp;q=BVMF%3aOIBR3&amp;form=skydnc</v>
    <v>Learn more on Bing</v>
  </rv>
  <rv s="8">
    <v>pt-BR</v>
    <v>apn2kr</v>
    <v>268435456</v>
    <v>1</v>
    <v>Da plataforma Refinitiv</v>
    <v>14</v>
    <v>15</v>
    <v>Oi S.A. – Em Recuperação Judicial (BVMF:OIBR3)</v>
    <v>12</v>
    <v>17</v>
    <v>Finance</v>
    <v>5</v>
    <v>6.5</v>
    <v>0.46</v>
    <v>BVMF</v>
    <v>330121700</v>
    <v>0.61</v>
    <v>1963</v>
    <v>0.56999999999999995</v>
    <v>1.3754999999999999</v>
    <v>B3 - Brazil Stock Exchange</v>
    <v>200771800</v>
    <v>オーアイ・エム・リューペラカオ・ジュディシアル（Oi SA - em Recuperacao Judicial）は、ブラジルの通信サービス・プロバイダー会社である。【事業内容】固定電話交換サービス（STFC）のコンセッション事業者であり、市内および地域内長距離通信事業者としてSTFCの提供に従事する。セグメントにはOi Fibra、Oi Solucoes、Servicos Legadosがある。Oiは、固定電話、携帯電話、ブロードバンド、有料テレビ、データ通信、インターネット・プロバイダー・サービスなどの総合通信サービスを提供する。Oi Fibraセグメントは、ブロードバンド、固定音声、IPTVサービスを一般家庭および中小企業向けに販売する。Oi Solucoesセグメントは、中・大企業向けビジネスソリューション、デジタルおよびITサービスを含む。Servicos Legadosセグメントは、銅線技術、DTH TV、規制卸売サービスを含む。</v>
    <v>BVMF</v>
    <v>0.6</v>
    <v>2600</v>
    <v>45849.838682858594</v>
    <v>751</v>
    <v>23600</v>
    <v>BRL</v>
    <v>Oi S.A. – Em Recuperação Judicial</v>
    <v>Oi S.A. – Em Recuperação Judicial</v>
    <v>0.59</v>
    <v>0.56999999999999995</v>
    <v>Rua do Lavradio, 71,2 andar, Centro, RIO DE JANEIRO, RIO DE JANEIRO, 20.230-070 BR</v>
    <v>Telecommunications Services</v>
    <v>OIBR3</v>
    <v>Ações</v>
    <v>Oi S.A. – Em Recuperação Judicial (BVMF:OIBR3)</v>
    <v>-0.03</v>
    <v>-0.05</v>
    <v>2661100</v>
  </rv>
  <rv s="2">
    <v>752</v>
  </rv>
  <rv s="0">
    <v>https://www.bing.com/financeapi/forcetrigger?t=apmcfr&amp;q=BVMF%3aCSAN3&amp;form=skydnc</v>
    <v>Learn more on Bing</v>
  </rv>
  <rv s="8">
    <v>pt-BR</v>
    <v>apmcfr</v>
    <v>268435456</v>
    <v>1</v>
    <v>Da plataforma Refinitiv</v>
    <v>14</v>
    <v>15</v>
    <v>Cosan S.A (BVMF:CSAN3)</v>
    <v>12</v>
    <v>16</v>
    <v>Finance</v>
    <v>5</v>
    <v>14.45</v>
    <v>6.27</v>
    <v>BVMF</v>
    <v>1866571000</v>
    <v>6.45</v>
    <v>1966</v>
    <v>6.27</v>
    <v>1.1491</v>
    <v>B3 - Brazil Stock Exchange</v>
    <v>11908722980</v>
    <v>A Cosan SA, anteriormente conhecida como Cosan SA Indústria e Comércio, é uma empresa sediada no Brasil que atua principalmente no setor de marketing de petróleo. As atividades da Companhia estão divididas em seis segmentos de negócios: Raizen Energia, que produz e distribui derivados de cana-de-açúcar, como açúcar bruto e etanol hidratado, e co-gera energia a partir do bagaço de cana; Raizen Combustiveis, que distribui combustível, principalmente através de uma rede de postos de gasolina sob a marca Shell; Comgas, que se concentra na distribuição de gás natural no estado de São Paulo, Brasil; Radar, responsável pela compra, venda, gerenciamento e arrendamento de terras agrícolas; Lubrificantes, que fabrica e vende lubrificantes sob a marca Mobil no mercado latino-americano, bem como a marca Comma no mercado europeu e asiático, e Outros, que inclui investimentos em outros negócios. A Companhia é uma subsidiária da Cosan Ltd.</v>
    <v>BVMF</v>
    <v>6.41</v>
    <v>53498</v>
    <v>45850</v>
    <v>754</v>
    <v>14835100</v>
    <v>BRL</v>
    <v>Cosan S.A</v>
    <v>Cosan S.A</v>
    <v>6.39</v>
    <v>6.38</v>
    <v>Avenida Brigadeiro Faria Lima, 4.100 16 andar, sala 01, Vila Nova Conceicao, SAO PAULO, SAO PAULO, 04.538-132 BR</v>
    <v>Consumer Goods Conglomerates</v>
    <v>CSAN3</v>
    <v>Ações</v>
    <v>Cosan S.A (BVMF:CSAN3)</v>
    <v>-0.03</v>
    <v>-4.6800000000000001E-3</v>
    <v>13309200</v>
  </rv>
  <rv s="2">
    <v>755</v>
  </rv>
  <rv s="0">
    <v>https://www.bing.com/financeapi/forcetrigger?t=apm4oc&amp;q=BVMF%3aBRKM3&amp;form=skydnc</v>
    <v>Learn more on Bing</v>
  </rv>
  <rv s="8">
    <v>pt-BR</v>
    <v>apm4oc</v>
    <v>268435456</v>
    <v>1</v>
    <v>Da plataforma Refinitiv</v>
    <v>14</v>
    <v>15</v>
    <v>BRASKEM S.A. (BVMF:BRKM3)</v>
    <v>12</v>
    <v>16</v>
    <v>Finance</v>
    <v>5</v>
    <v>20.86</v>
    <v>9.1199999999999992</v>
    <v>BVMF</v>
    <v>797207800</v>
    <v>10.19</v>
    <v>1972</v>
    <v>9.9499999999999993</v>
    <v>1.07</v>
    <v>B3 - Brazil Stock Exchange</v>
    <v>8129932000</v>
    <v>A Braskem SA é uma petroquímica integrada no Brasil para a primeira e segunda geração de resinas termoplásticas. As atividades da Companhia são divididas em três segmentos operacionais: Brasil; Estados Unidos e Europa; e México. O segmento Brasil está focado na produção de resinas de polietileno (PE), polipropileno (PP) e policloreto de vinilo (PVC), além de insumos químicos básicos como etileno, propileno, butadieno, benzeno, tolueno, etc. cloro, soda e solventes, entre outros. O segmento Estados Unidos e Europa é responsável pela produção de polipropileno em unidades nos Estados Unidos e na Alemanha. O segmento México consiste na operação de blocos de etileno e de polietileno localizados no México.</v>
    <v>BVMF</v>
    <v>10.39</v>
    <v>8126</v>
    <v>45850</v>
    <v>757</v>
    <v>3873210</v>
    <v>BRL</v>
    <v>BRASKEM S.A.</v>
    <v>BRASKEM S.A.</v>
    <v>10.18</v>
    <v>10.02</v>
    <v>R Eteno 1561, Polo Industrial De Camacari, CAMACARI, BAHIA, 42.816-200 BR</v>
    <v>Chemicals</v>
    <v>BRKM3</v>
    <v>Ações</v>
    <v>BRASKEM S.A. (BVMF:BRKM3)</v>
    <v>-0.37</v>
    <v>-3.5611000000000004E-2</v>
    <v>16200</v>
  </rv>
  <rv s="2">
    <v>758</v>
  </rv>
  <rv s="0">
    <v>https://www.bing.com/financeapi/forcetrigger?t=apnc7w&amp;q=BVMF%3aSHOW3&amp;form=skydnc</v>
    <v>Learn more on Bing</v>
  </rv>
  <rv s="8">
    <v>pt-BR</v>
    <v>apnc7w</v>
    <v>268435456</v>
    <v>1</v>
    <v>Da plataforma Refinitiv</v>
    <v>14</v>
    <v>15</v>
    <v>T4F ENTRETENIMENTO S.A. (BVMF:SHOW3)</v>
    <v>12</v>
    <v>17</v>
    <v>Finance</v>
    <v>5</v>
    <v>17.899999999999999</v>
    <v>5.99</v>
    <v>BVMF</v>
    <v>67412640</v>
    <v>6.44</v>
    <v>1998</v>
    <v>6.34</v>
    <v>1.8903000000000001</v>
    <v>B3 - Brazil Stock Exchange</v>
    <v>434137401</v>
    <v>A T4F Entretenimento SA, anteriormente CIE Brasil SA, é uma empresa pública brasileira que atua no setor de entretenimento ao vivo. A Companhia atua na administração, promoção, organização, produção, agência, programação e implementação de atividades relacionadas ao entretenimento ao vivo, como esportes, artes, cultura, concertos e shows, bem como na administração e operação de locais, tais como teatros, ginásios e estádios. A Companhia opera diferentes níveis de cadeia de valor de entretenimento ao vivo, incluindo: Operação do local; bilhética; vendas de alimentos, bebidas e mercadorias; e patrocínios corporativos. Atualmente, a Companhia opera o Teatro Opera Orbis Seguros, em Buenos Aires, e o Teatro Renault, em São Paulo.</v>
    <v>BVMF</v>
    <v>6.44</v>
    <v>621</v>
    <v>45849.83680623828</v>
    <v>760</v>
    <v>28220</v>
    <v>BRL</v>
    <v>T4F ENTRETENIMENTO S.A.</v>
    <v>T4F ENTRETENIMENTO S.A.</v>
    <v>6.35</v>
    <v>6.44</v>
    <v>Rua Cristiano Viana, n 401, 15 andar, Pinheiros, SAO PAULO, SAO PAULO, 05.411-000 BR</v>
    <v>Hotels &amp; Entertainment Services</v>
    <v>SHOW3</v>
    <v>Ações</v>
    <v>T4F ENTRETENIMENTO S.A. (BVMF:SHOW3)</v>
    <v>0</v>
    <v>0</v>
    <v>14800</v>
  </rv>
  <rv s="2">
    <v>761</v>
  </rv>
  <rv s="0">
    <v>https://www.bing.com/financeapi/forcetrigger?t=azilm7&amp;q=BVMF%3aAZEV3&amp;form=skydnc</v>
    <v>Learn more on Bing</v>
  </rv>
  <rv s="9">
    <v>pt-BR</v>
    <v>azilm7</v>
    <v>268435456</v>
    <v>1</v>
    <v>Da plataforma Refinitiv</v>
    <v>18</v>
    <v>19</v>
    <v>AZEVEDO &amp; TRAVASSOS S.A. (BVMF:AZEV3)</v>
    <v>12</v>
    <v>20</v>
    <v>Finance</v>
    <v>5</v>
    <v>1.92</v>
    <v>0.41</v>
    <v>BVMF</v>
    <v>592753700</v>
    <v>0.62</v>
    <v>1922</v>
    <v>0.57999999999999996</v>
    <v>1.0603</v>
    <v>B3 - Brazil Stock Exchange</v>
    <v>373303000</v>
    <v>A Azevedo &amp; Travassos SA é uma empresa brasileira que atua principalmente no setor de construção civil. A Companhia estrutura seus negócios em quatro áreas: construção pesada e civil; montagem eletromecânica; perfuração e completação de poços e incorporação imobiliária. No setor de construção civil e pesada, a Companhia atua na construção de rodovias, ferrovias, avenidas, barragens, aeroportos, pontes, viadutos, metrôs, túneis, prédios industriais e hospitais, entre outros. Na área de montagem eletromecânica, atua principalmente na construção e montagem de gasodutos, óleo e polpa, bem como na recuperação e manutenção de instalações para transporte de óleo e gás. No segmento de perfuração e completação de poços, atua principalmente na perfuração, completação e workover de poços de petróleo, gás, mineração e água. Na área de incorporação imobiliária, a Companhia atua na construção de moradias residenciais.</v>
    <v>BVMF</v>
    <v>0.56999999999999995</v>
    <v>45850</v>
    <v>763</v>
    <v>5614700</v>
    <v>BRL</v>
    <v>AZEVEDO &amp; TRAVASSOS S.A.</v>
    <v>AZEVEDO &amp; TRAVASSOS S.A.</v>
    <v>0.57999999999999996</v>
    <v>0.61</v>
    <v>Rua Vicente Antonio de Oliveira 1050, Pirituba, SAO PAULO, SAO PAULO, 02.955-080 BR</v>
    <v>Construction &amp; Engineering</v>
    <v>AZEV3</v>
    <v>Ações</v>
    <v>AZEVEDO &amp; TRAVASSOS S.A. (BVMF:AZEV3)</v>
    <v>0.04</v>
    <v>7.0175000000000001E-2</v>
    <v>2230200</v>
  </rv>
  <rv s="2">
    <v>764</v>
  </rv>
  <rv s="0">
    <v>https://www.bing.com/financeapi/forcetrigger?t=apmoa2&amp;q=BVMF%3aGOLL4&amp;form=skydnc</v>
    <v>Learn more on Bing</v>
  </rv>
  <rv s="8">
    <v>pt-BR</v>
    <v>apmoa2</v>
    <v>268435456</v>
    <v>1</v>
    <v>Da plataforma Refinitiv</v>
    <v>14</v>
    <v>15</v>
    <v>Gol Linhas Aéreas Inteligentes S.A. (BVMF:GOLL54)</v>
    <v>12</v>
    <v>16</v>
    <v>Finance</v>
    <v>5</v>
    <v>701</v>
    <v>0</v>
    <v>BVMF</v>
    <v>3202277000000</v>
    <v>52.9</v>
    <v>2004</v>
    <v>38.549999999999997</v>
    <v>48.945</v>
    <v>B3 - Brazil Stock Exchange</v>
    <v>331845000</v>
    <v>A Gol Linhas Aéreas Inteligentes SA é uma companhia aérea com sede no Brasil que oferece transporte aéreo regular de passageiros e carga para mais de 100 destinos no Brasil, América do Sul, Caribe e Estados Unidos. A Companhia atua por meio de dois segmentos: Transporte Aéreo e Programa de Fidelidade. As operações do segmento de Transporte Aéreo são originadas de sua controlada Gol Linhas Aéreas SA (GLA) para a prestação de serviços de transporte aéreo. Este segmento inclui a GOLLOG, negócio de transporte de cargas e logística da Companhia. A empresa opera uma frota de aproximadamente 140 aeronaves Boeing 737. As operações do segmento de programas de fidelidade são representadas pelo programa de fidelidade SMILES coalition, que permite aos clientes acumular milhas e resgatar passagens para mais de 700 localidades em todo o mundo.</v>
    <v>BVMF</v>
    <v>50.01</v>
    <v>13694</v>
    <v>45850</v>
    <v>766</v>
    <v>38622700</v>
    <v>BRL</v>
    <v>Gol Linhas Aéreas Inteligentes S.A.</v>
    <v>Gol Linhas Aéreas Inteligentes S.A.</v>
    <v>50.02</v>
    <v>40.380000000000003</v>
    <v>Praca Comandante Lineu Gomes S/N, Portaria 3, Jardim Aeroporto, SAO PAULO, SAO PAULO, 04.626-020 BR</v>
    <v>Passenger Transportation Services</v>
    <v>GOLL54</v>
    <v>Ações</v>
    <v>Gol Linhas Aéreas Inteligentes S.A. (BVMF:GOLL54)</v>
    <v>-9.6300000000000008</v>
    <v>-0.19256100000000001</v>
    <v>62166</v>
  </rv>
  <rv s="2">
    <v>767</v>
  </rv>
  <rv s="0">
    <v>https://www.bing.com/financeapi/forcetrigger?t=apnbvh&amp;q=BVMF%3aSEER3&amp;form=skydnc</v>
    <v>Learn more on Bing</v>
  </rv>
  <rv s="8">
    <v>pt-BR</v>
    <v>apnbvh</v>
    <v>268435456</v>
    <v>1</v>
    <v>Da plataforma Refinitiv</v>
    <v>14</v>
    <v>15</v>
    <v>Ser Educacional S.A. (BVMF:SEER3)</v>
    <v>12</v>
    <v>17</v>
    <v>Finance</v>
    <v>5</v>
    <v>10.76</v>
    <v>3.9</v>
    <v>BVMF</v>
    <v>128721600</v>
    <v>8.99</v>
    <v>2002</v>
    <v>8.58</v>
    <v>1.8028999999999999</v>
    <v>B3 - Brazil Stock Exchange</v>
    <v>1118590000</v>
    <v>A Ser Educacional S.A. é uma empresa brasileira que atua principalmente no setor educacional. A empresa concentra-se no desenvolvimento de instituições de ensino pós-secundário, profissional e superior. A empresa oferece cursos de graduação, pós-graduação, mestrado e doutorado, programas de Mestrado em Administração de Empresas (MBA) e formação profissional. Além disso, gerencia institutos de pesquisa que desenvolvem projetos educacionais, científicos, políticos, econômicos e sociais. A empresa também organiza conferências nacionais e internacionais em várias áreas, como administração de empresas, direito, turismo, comunicações, tecnologia da informação, saúde e educação. A rede educacional da empresa está localizada em mais de 10 estados brasileiros e é composta por universidades, faculdades e um centro universitário.</v>
    <v>BVMF</v>
    <v>9</v>
    <v>7800</v>
    <v>45849.838692580466</v>
    <v>769</v>
    <v>655680</v>
    <v>BRL</v>
    <v>Ser Educacional S.A.</v>
    <v>Ser Educacional S.A.</v>
    <v>8.99</v>
    <v>8.69</v>
    <v>Av. da Saudade, 254, Santo Amaro, RECIFE, PERNAMBUCO, 50.100-200 BR</v>
    <v>School, College &amp; University</v>
    <v>SEER3</v>
    <v>Ações</v>
    <v>Ser Educacional S.A. (BVMF:SEER3)</v>
    <v>-0.31</v>
    <v>-3.4444000000000002E-2</v>
    <v>535900</v>
  </rv>
  <rv s="2">
    <v>770</v>
  </rv>
  <rv s="0">
    <v>https://www.bing.com/financeapi/forcetrigger?t=apmk77&amp;q=BVMF%3aFESA4&amp;form=skydnc</v>
    <v>Learn more on Bing</v>
  </rv>
  <rv s="8">
    <v>pt-BR</v>
    <v>apmk77</v>
    <v>268435456</v>
    <v>1</v>
    <v>Da plataforma Refinitiv</v>
    <v>14</v>
    <v>15</v>
    <v>Companhia de Ferro Ligas da Bahia (Ferbasa) (BVMF:FESA4)</v>
    <v>12</v>
    <v>17</v>
    <v>Finance</v>
    <v>5</v>
    <v>8.59</v>
    <v>6.57</v>
    <v>BVMF</v>
    <v>353175000</v>
    <v>6.86</v>
    <v>1961</v>
    <v>6.78</v>
    <v>0.3427</v>
    <v>B3 - Brazil Stock Exchange</v>
    <v>2950188000</v>
    <v>A Companhia de Ferro Ligas da Bahia Ferbasa é uma empresa sediada no Brasil, principalmente envolvida na produção e comercialização de ferroligas. A Companhia divide seus negócios em dois segmentos principais: Ligas de Cromo, que se dedica à fabricação e comercialização de ferroligas de cromo de alto e baixo carbono, e Silício, que inclui operações relacionadas à produção de ferroligas de silício. Além disso, a Companhia está envolvida na mineração de cromita; fabricação e comercialização de cal viva e cal hidratada; reflorestamento e produção de carvão vegetal e aproveitamento econômico dos resíduos sólidos gerados no processo de produção de ferroligas, incluindo a fabricação e comercialização de escória britada. Em 31 de dezembro de 2011, as subsidiárias da Companhia incluíam Mineração Vale do Jacurici SA, Reflora - Reflorestadora e Agrícola SA, Indústria de Minerios Damacal Ltda e Silício de Alta Pureza da Bahia SA - Silbasa.</v>
    <v>BVMF</v>
    <v>6.81</v>
    <v>3218</v>
    <v>45849.838194467186</v>
    <v>772</v>
    <v>535990</v>
    <v>BRL</v>
    <v>Companhia de Ferro Ligas da Bahia (Ferbasa)</v>
    <v>Companhia de Ferro Ligas da Bahia (Ferbasa)</v>
    <v>6.86</v>
    <v>6.83</v>
    <v>Estrada de Santiago, s/n, Sede, Santiago, POJUCA, BAHIA, 48.120-000 BR</v>
    <v>Metals &amp; Mining</v>
    <v>FESA4</v>
    <v>Ações</v>
    <v>Companhia de Ferro Ligas da Bahia (Ferbasa) (BVMF:FESA4)</v>
    <v>0.02</v>
    <v>2.9370000000000004E-3</v>
    <v>473200</v>
  </rv>
  <rv s="2">
    <v>773</v>
  </rv>
  <rv s="0">
    <v>https://www.bing.com/financeapi/forcetrigger?t=bvcw52&amp;q=BVMF%3aLJQQ3&amp;form=skydnc</v>
    <v>Learn more on Bing</v>
  </rv>
  <rv s="8">
    <v>pt-BR</v>
    <v>bvcw52</v>
    <v>268435456</v>
    <v>1</v>
    <v>Da plataforma Refinitiv</v>
    <v>14</v>
    <v>15</v>
    <v>Lojas Quero-Quero S.A (BVMF:LJQQ3)</v>
    <v>12</v>
    <v>17</v>
    <v>Finance</v>
    <v>5</v>
    <v>4.34</v>
    <v>1.87</v>
    <v>BVMF</v>
    <v>206917300</v>
    <v>2.44</v>
    <v>1967</v>
    <v>2.31</v>
    <v>1.8149</v>
    <v>B3 - Brazil Stock Exchange</v>
    <v>494532300</v>
    <v>A Lojas Quero-Quero SA possui e opera lojas de varejo de artefatos domésticos em cidades de pequeno e médio porte do Rio Grande do Sul. A empresa foi fundada em 1967 e está localizada em Cachoeirinha, Brasil.</v>
    <v>BVMF</v>
    <v>2.4300000000000002</v>
    <v>8200</v>
    <v>45849.838705890623</v>
    <v>775</v>
    <v>1936970</v>
    <v>BRL</v>
    <v>Lojas Quero-Quero S.A</v>
    <v>Lojas Quero-Quero S.A</v>
    <v>2.42</v>
    <v>2.39</v>
    <v>Avenida General Flores da Cunha n 1943, Vila Cachoeirinha, CACHOEIRINHA, RIO GRANDE DO SUL, 94.910-003 BR</v>
    <v>Specialty Retailers</v>
    <v>LJQQ3</v>
    <v>Ações</v>
    <v>Lojas Quero-Quero S.A (BVMF:LJQQ3)</v>
    <v>-0.04</v>
    <v>-1.6461E-2</v>
    <v>1972100</v>
  </rv>
  <rv s="2">
    <v>776</v>
  </rv>
  <rv s="0">
    <v>https://www.bing.com/financeapi/forcetrigger?t=apnkar&amp;q=BVMF%3aVIVR3&amp;form=skydnc</v>
    <v>Learn more on Bing</v>
  </rv>
  <rv s="8">
    <v>pt-BR</v>
    <v>apnkar</v>
    <v>268435456</v>
    <v>1</v>
    <v>Da plataforma Refinitiv</v>
    <v>14</v>
    <v>15</v>
    <v>Viver Incorporadora e Construtora S.A. (BVMF:VIVR3)</v>
    <v>12</v>
    <v>17</v>
    <v>Finance</v>
    <v>5</v>
    <v>2.7</v>
    <v>0.84</v>
    <v>BVMF</v>
    <v>38366080</v>
    <v>0.85</v>
    <v>1992</v>
    <v>0.84</v>
    <v>1.6943999999999999</v>
    <v>B3 - Brazil Stock Exchange</v>
    <v>32611170</v>
    <v>A Viver Incorporadora e Construtora S.A., antigamente conhecida como Inpar S.A., é uma empresa estabelecida no Brasil, que atua no setor de imóveis. Atua em empreendimentos imobiliários; construção de edifícios; compra e venda de imóveis construídos ou em construção; arrendamento imobiliário e gerenciamento, e loteamento de terrenos. A atividade principal da empresa é o desenvolvimento de projetos de imóveis residenciais e comerciais. Suas subsidiárias incluem a Viver Desenvolvimento Imobiliário Ltda., Inpar Investimentos II S.A., Viver Desenvolvimento e Construção Imobiliária Ltda., OAAP Incorporações e Participações Ltda. e Lagoa dos Ingleses Participações Ltda., dentre outras. Em outubro de 2013, a empresa anunciou a conclusão da venda da totalidade do terreno de um complexo chamado Lagoa dos Ingleses, localizado na cidade de Nova Lima, para a ASM ALICERCE 1 EMPREENDIMENTOS IMOBILIÁRIOS S.A. Em julho de 2014, a empresa vendeu a Inpar Projeto Residencial Raposo km 18,5 SPE Ltda.</v>
    <v>BVMF</v>
    <v>0.84</v>
    <v>256</v>
    <v>45849.833333460156</v>
    <v>778</v>
    <v>49730</v>
    <v>BRL</v>
    <v>Viver Incorporadora e Construtora S.A.</v>
    <v>Viver Incorporadora e Construtora S.A.</v>
    <v>0.84</v>
    <v>0.85</v>
    <v>Avenida Brigadeiro Faria Lima, 1.461, 10 andar, Jardim Paulista, SAO PAULO, SAO PAULO, 01.452-921 BR</v>
    <v>Real Estate Operations</v>
    <v>VIVR3</v>
    <v>Ações</v>
    <v>Viver Incorporadora e Construtora S.A. (BVMF:VIVR3)</v>
    <v>0.01</v>
    <v>1.1904999999999999E-2</v>
    <v>15700</v>
  </rv>
  <rv s="2">
    <v>779</v>
  </rv>
  <rv s="0">
    <v>https://www.bing.com/financeapi/forcetrigger?t=apmemw&amp;q=BVMF%3aDASA3&amp;form=skydnc</v>
    <v>Learn more on Bing</v>
  </rv>
  <rv s="8">
    <v>pt-BR</v>
    <v>apmemw</v>
    <v>268435456</v>
    <v>1</v>
    <v>Da plataforma Refinitiv</v>
    <v>14</v>
    <v>15</v>
    <v>Diagnósticos da América S.A (BVMF:DASA3)</v>
    <v>12</v>
    <v>17</v>
    <v>Finance</v>
    <v>5</v>
    <v>4.05</v>
    <v>1.29</v>
    <v>BVMF</v>
    <v>1255007000</v>
    <v>1.34</v>
    <v>1966</v>
    <v>1.3</v>
    <v>1.0174000000000001</v>
    <v>B3 - Brazil Stock Exchange</v>
    <v>1644059000</v>
    <v>A DIAGNOSTICOS DA AMERICA S.A. é uma empresa do Brasil, que atua no fornecimento de serviços de suporte ao diagnóstico. Os serviços da empresa estão estruturados em três unidades: ambulatorial e hospitalar, que fornece análises clínicas e diagnósticos por imagem; suporte laboratorial, que fornece serviços para laboratórios de pequeno e médio porte, e setor de saúde pública, no qual a empresa opera por meio da marca CientificaLab, que se concentra no fornecimento de serviços de suporte ao diagnóstico para o setor de saúde pública. Além disso, a empresa atua em atividades relacionadas a testes de alimentos e substâncias para a avaliação de riscos ao ser humano; importação, para uso próprio, de equipamentos médico-hospitalares, conjuntos para diagnósticos e materiais relacionados em geral, e concessão e administração de franquias de negócios, inclusive propaganda e publicação de financiamento, treinamento e seleção de mão de obra, fornecimento de equipamentos e fornecedores de materiais de pesquisa, dentre outras.</v>
    <v>BVMF</v>
    <v>1.34</v>
    <v>18142</v>
    <v>45849.836805624996</v>
    <v>781</v>
    <v>814800</v>
    <v>BRL</v>
    <v>Diagnósticos da América S.A</v>
    <v>Diagnósticos da América S.A</v>
    <v>1.34</v>
    <v>1.31</v>
    <v>Avenida Jurua, 434, Alphaville, BARUERI, SAO PAULO, 06.455-010 BR</v>
    <v>Healthcare Providers &amp; Services</v>
    <v>DASA3</v>
    <v>Ações</v>
    <v>Diagnósticos da América S.A (BVMF:DASA3)</v>
    <v>-0.03</v>
    <v>-2.2387999999999998E-2</v>
    <v>455400</v>
  </rv>
  <rv s="2">
    <v>782</v>
  </rv>
  <rv s="0">
    <v>https://www.bing.com/financeapi/forcetrigger?t=apnakr&amp;q=BVMF%3aRSID3&amp;form=skydnc</v>
    <v>Learn more on Bing</v>
  </rv>
  <rv s="9">
    <v>pt-BR</v>
    <v>apnakr</v>
    <v>268435456</v>
    <v>1</v>
    <v>Da plataforma Refinitiv</v>
    <v>18</v>
    <v>19</v>
    <v>ROSSI RESIDENCIAL S.A. - Em Recuperação Judicial. (BVMF:RSID3)</v>
    <v>12</v>
    <v>27</v>
    <v>Finance</v>
    <v>5</v>
    <v>5.14</v>
    <v>1.65</v>
    <v>BVMF</v>
    <v>20000000</v>
    <v>2.06</v>
    <v>1985</v>
    <v>1.98</v>
    <v>0.76370000000000005</v>
    <v>B3 - Brazil Stock Exchange</v>
    <v>41200000</v>
    <v>Rossi Residencial SA - Em Recuperacao Judicial, anteriormente Rossi Residencial SA, é uma empresa pública brasileira envolvida no setor imobiliário. As principais atividades da Companhia se concentram em projetos de desenvolvimento imobiliário, construção e compra e venda de imóveis residenciais e comerciais prontos. Além disso, a Companhia está envolvida na divisão e subdivisão de terrenos, na prestação de serviços de engenharia civil, através de suas próprias operações e estruturas societárias, incluindo a limitação da participação em Sociedades de Propósito Especial (Spes) e consórcios e participação em outras empresas como sócio ou acionista ou como único acionista de subsidiária integral.</v>
    <v>BVMF</v>
    <v>2.06</v>
    <v>45849.833333448434</v>
    <v>784</v>
    <v>4770</v>
    <v>BRL</v>
    <v>ROSSI RESIDENCIAL S.A. - Em Recuperação Judicial.</v>
    <v>ROSSI RESIDENCIAL S.A. - Em Recuperação Judicial.</v>
    <v>2.0099999999999998</v>
    <v>2.06</v>
    <v>Rua Henri Dunant, 873 - Conj. 601 a 605 6 andar, Santo Amaro, SAO PAULO, SAO PAULO, 04.709-111 BR</v>
    <v>Real Estate Operations</v>
    <v>RSID3</v>
    <v>Ações</v>
    <v>ROSSI RESIDENCIAL S.A. - Em Recuperação Judicial. (BVMF:RSID3)</v>
    <v>0</v>
    <v>0</v>
    <v>6300</v>
  </rv>
  <rv s="2">
    <v>785</v>
  </rv>
  <rv s="0">
    <v>https://www.bing.com/financeapi/forcetrigger?t=apnf8m&amp;q=BVMF%3aTCSA3&amp;form=skydnc</v>
    <v>Learn more on Bing</v>
  </rv>
  <rv s="8">
    <v>pt-BR</v>
    <v>apnf8m</v>
    <v>268435456</v>
    <v>1</v>
    <v>Da plataforma Refinitiv</v>
    <v>14</v>
    <v>15</v>
    <v>TECNISA S.A. (BVMF:TCSA3)</v>
    <v>12</v>
    <v>17</v>
    <v>Finance</v>
    <v>5</v>
    <v>2.5099999999999998</v>
    <v>1.1499999999999999</v>
    <v>BVMF</v>
    <v>90511120</v>
    <v>1.98</v>
    <v>2006</v>
    <v>1.65</v>
    <v>1.6232</v>
    <v>B3 - Brazil Stock Exchange</v>
    <v>175591572</v>
    <v>A Tecnisa SA é uma empresa sediada no Brasil que atua no setor imobiliário. A Companhia e suas subsidiárias têm por objeto a incorporação, construção, arrendamento, administração, compra e venda de propriedades e terrenos imobiliários residenciais e comerciais. Além disso, a Companhia oferece serviços de consultoria relacionados ao mercado imobiliário. A Companhia desenvolve, comercializa e constrói empreendimentos residenciais e comerciais com um modelo de negócio integrado. A Companhia atua desde a aquisição do terreno até o financiamento de parte de seus clientes. Além disso, a Companhia oferece serviços de consultoria relacionados ao mercado imobiliário. Atua no mercado brasileiro. O foco da Companhia é a região de São Paulo (principal mercado), seguida por Brasília e Curitiba.</v>
    <v>BVMF</v>
    <v>1.73</v>
    <v>8039</v>
    <v>45849.836805647654</v>
    <v>787</v>
    <v>454130</v>
    <v>BRL</v>
    <v>TECNISA S.A.</v>
    <v>TECNISA S.A.</v>
    <v>1.74</v>
    <v>1.94</v>
    <v>Avenida Nicolas Boer, 399, 5 andar - Unid 502S, Jardim das Perdizes, SAO PAULO, SAO PAULO, 01.140-060 BR</v>
    <v>Real Estate Operations</v>
    <v>TCSA3</v>
    <v>Ações</v>
    <v>TECNISA S.A. (BVMF:TCSA3)</v>
    <v>0.21</v>
    <v>0.12138699999999999</v>
    <v>998700</v>
  </rv>
  <rv s="2">
    <v>788</v>
  </rv>
  <rv s="0">
    <v>https://www.bing.com/financeapi/forcetrigger?t=aplxpr&amp;q=BVMF%3aAZUL4&amp;form=skydnc</v>
    <v>Learn more on Bing</v>
  </rv>
  <rv s="8">
    <v>pt-BR</v>
    <v>aplxpr</v>
    <v>268435456</v>
    <v>1</v>
    <v>Da plataforma Refinitiv</v>
    <v>14</v>
    <v>15</v>
    <v>Azul S.A. (BVMF:AZUL4)</v>
    <v>12</v>
    <v>16</v>
    <v>Finance</v>
    <v>5</v>
    <v>9.2100000000000009</v>
    <v>0.78</v>
    <v>BVMF</v>
    <v>896039700</v>
    <v>0.86</v>
    <v>2008</v>
    <v>0.78</v>
    <v>2.0215000000000001</v>
    <v>B3 - Brazil Stock Exchange</v>
    <v>716831760</v>
    <v>A Azul S.A. é uma empresa brasileira dedicada à prestação de serviços de transporte de passageiros. A Companhia atua principalmente como operadora de companhia aérea sob a marca Azul, fornecendo voos regulares entre diversas cidades do Brasil, incluindo São Paulo, Brasília, Rio de Janeiro, Belo Horizonte, Porto Alegre, Curitiba, Fortaleza e Salvador, entre outros. Além disso, sua rede aérea compreende rotas internacionais para os Estados Unidos, Europa e outros países da América Latina. Por meio de seu negócio de pacotes de viagens, a Azul Viagens, além de passagens aéreas, a Companhia oferece acomodações, transfers, passeios e aluguel de veículos. Sua oferta inclui também o Azul Cargo Express, um serviço de transporte de carga agendado com entrega de aeroporto a aeroporto e porta a porta. A Companhia possui várias subsidiárias, como a Azul Linhas Aéreas Brasileiras SA, que opera todas as atividades de voo e TudoAzul SA, que gerencia o programa de fidelidade.</v>
    <v>BVMF</v>
    <v>0.85</v>
    <v>15367</v>
    <v>45850</v>
    <v>790</v>
    <v>12015780</v>
    <v>BRL</v>
    <v>Azul S.A.</v>
    <v>Azul S.A.</v>
    <v>0.85</v>
    <v>0.8</v>
    <v>Av. Marcos P. de U. Rodrigues, 939 - Edif. C. Branco Office Park, Torre Jatoba, 11 andar, Alphaville Industrial, BARUERI, SAO PAULO, 06.460-040 BR</v>
    <v>Passenger Transportation Services</v>
    <v>AZUL4</v>
    <v>Ações</v>
    <v>Azul S.A. (BVMF:AZUL4)</v>
    <v>-0.05</v>
    <v>-5.8823999999999994E-2</v>
    <v>35074300</v>
  </rv>
  <rv s="2">
    <v>791</v>
  </rv>
  <rv s="0">
    <v>https://www.bing.com/financeapi/forcetrigger?t=c24pbh&amp;q=BVMF%3aDOTZ3&amp;form=skydnc</v>
    <v>Learn more on Bing</v>
  </rv>
  <rv s="8">
    <v>pt-BR</v>
    <v>c24pbh</v>
    <v>268435456</v>
    <v>1</v>
    <v>Da plataforma Refinitiv</v>
    <v>14</v>
    <v>15</v>
    <v>Dotz S.A. (BVMF:DOTZ3)</v>
    <v>12</v>
    <v>17</v>
    <v>Finance</v>
    <v>5</v>
    <v>9.4499999999999993</v>
    <v>2.54</v>
    <v>BVMF</v>
    <v>13321980</v>
    <v>5.17</v>
    <v>2013</v>
    <v>4.95</v>
    <v>1.6617999999999999</v>
    <v>B3 - Brazil Stock Exchange</v>
    <v>68741416</v>
    <v>A Dotz SA é uma empresa sediada no Brasil, e tem como atividade a participação em outras sociedades, como sócia ou acionista, no país ou no exterior. A Companhia é controladora das empresas CBSM - Companhia Brasileira de Soluções de Marketing S.A. (“CBSM”) e a CGSSP - Companhia Global de Soluções e Serviços de Pagamentos. A CBSM e a CGSSP são sociedades por ações de capital fechado, e têm como atividade o desenvolvimento e a prestação de serviços na área de marketing e tecnologia para internet, preponderantemente a assessoria, consultoria, elaboração e execução de projetos na área de tecnologia da informação, notadamente internet, intranet, e-commerce, e-business e “business to business”, além da conta Digital de Pagamentos, denominada Dotz Pay. A Companhia, através de suas controladas, por meio de seu programa de fidelização denominado “Dotz”, atribui pontos de fidelização a terceiros, tais como emissores de cartão de crédito, supermercados, farmácias, entre outros que, por sua vez, concedem estes pontos para seus clientes. Em conexão com o programa de fidelidade, tais clientes têm a possibilidade de resgatar os pontos na forma de produtos e/ou serviços.</v>
    <v>BVMF</v>
    <v>5.25</v>
    <v>226</v>
    <v>45849.833333460156</v>
    <v>793</v>
    <v>11170</v>
    <v>BRL</v>
    <v>Dotz S.A.</v>
    <v>Dotz S.A.</v>
    <v>5.15</v>
    <v>5.16</v>
    <v>R Joaquim Floriano 533 15 andar, Itaim Bibi, Sao Paulo, SAO PAULO, 04.534-011 BR</v>
    <v>Professional &amp; Commercial Services</v>
    <v>DOTZ3</v>
    <v>Ações</v>
    <v>Dotz S.A. (BVMF:DOTZ3)</v>
    <v>-0.09</v>
    <v>-1.7142999999999999E-2</v>
    <v>16900</v>
  </rv>
  <rv s="2">
    <v>794</v>
  </rv>
  <rv s="0">
    <v>https://www.bing.com/financeapi/forcetrigger?t=apn51h&amp;q=BVMF%3aPMAM3&amp;form=skydnc</v>
    <v>Learn more on Bing</v>
  </rv>
  <rv s="8">
    <v>pt-BR</v>
    <v>apn51h</v>
    <v>268435456</v>
    <v>1</v>
    <v>Da plataforma Refinitiv</v>
    <v>14</v>
    <v>15</v>
    <v>PARANAPANEMA S.A - EM RECUPERACAO JUDICIAL (BVMF:PMAM3)</v>
    <v>12</v>
    <v>17</v>
    <v>Finance</v>
    <v>5</v>
    <v>2.71</v>
    <v>0.76</v>
    <v>BVMF</v>
    <v>511363900</v>
    <v>1.75</v>
    <v>1961</v>
    <v>1.66</v>
    <v>1.3159000000000001</v>
    <v>B3 - Brazil Stock Exchange</v>
    <v>853977700</v>
    <v>Paranapanema SA em Recuperacao Judicial, anteriormente Paranapanema SA Mineracao Industria e Construcao é uma empresa brasileira que atua no segmento de cobre. A empresa é um produtor não integrado de cobre refinado, vergalhões, fios estirados, laminados, barras, tubos, conexões e ligas de cobre. A Paranapanema possui um segmento operacional, que é o cobre. A Companhia possui quatro plantas industriais, uma delas, localizada em Dias d'Avila, estado da Bahia, produz cobre refinado.</v>
    <v>BVMF</v>
    <v>1.73</v>
    <v>2229</v>
    <v>45849.838194467186</v>
    <v>796</v>
    <v>296770</v>
    <v>BRL</v>
    <v>PARANAPANEMA S.A - EM RECUPERACAO JUDICIAL</v>
    <v>PARANAPANEMA S.A - EM RECUPERACAO JUDICIAL</v>
    <v>1.72</v>
    <v>1.67</v>
    <v>Rua Felipe Camarao, 500, Bairro Utinga, SANTO ANDRE, SAO PAULO, 09.220-580 BR</v>
    <v>Metals &amp; Mining</v>
    <v>PMAM3</v>
    <v>Ações</v>
    <v>PARANAPANEMA S.A - EM RECUPERACAO JUDICIAL (BVMF:PMAM3)</v>
    <v>-0.06</v>
    <v>-3.4681999999999998E-2</v>
    <v>154100</v>
  </rv>
  <rv s="2">
    <v>797</v>
  </rv>
  <rv s="0">
    <v>https://www.bing.com/financeapi/forcetrigger?t=apmvm7&amp;q=BVMF%3aLLIS3&amp;form=skydnc</v>
    <v>Learn more on Bing</v>
  </rv>
  <rv s="8">
    <v>pt-BR</v>
    <v>apmvm7</v>
    <v>268435456</v>
    <v>1</v>
    <v>Da plataforma Refinitiv</v>
    <v>14</v>
    <v>15</v>
    <v>VESTE S.A. ESTILO (BVMF:VSTE3)</v>
    <v>12</v>
    <v>17</v>
    <v>Finance</v>
    <v>5</v>
    <v>15.2</v>
    <v>5.5</v>
    <v>BVMF</v>
    <v>114333800</v>
    <v>6.07</v>
    <v>1982</v>
    <v>6</v>
    <v>1.4672000000000001</v>
    <v>B3 - Brazil Stock Exchange</v>
    <v>694006166</v>
    <v>A Veste SA Estilo é uma empresa brasileira que atua principalmente na indústria de moda e varejo. A empresa se concentra no design, desenvolvimento, fabricação e comércio de vestuário e acessórios para mulheres e homens. As marcas de vestuário da empresa incluem Le Lis Blanc Deux, Dudalina, Bo Bo, John John, e Individual, entre outros. Além da moda, a empresa também oferece uma gama de artigos de decoração para casa, artigos de higiene e cosméticos, atendendo a um amplo espetro de necessidades do consumidor. A empresa opera uma rede de distribuição que inclui canais B2C, canais B2B, canais outlet e lojas estrategicamente localizadas em áreas de alto tráfego e alta visibilidade, como centros comerciais e locais de rua proeminentes.</v>
    <v>BVMF</v>
    <v>6.07</v>
    <v>1833</v>
    <v>45849.833333460156</v>
    <v>799</v>
    <v>10010</v>
    <v>BRL</v>
    <v>VESTE S.A. ESTILO</v>
    <v>VESTE S.A. ESTILO</v>
    <v>6.07</v>
    <v>6.07</v>
    <v>Rua Othao 405, Vila Leopoldina, SAO PAULO, SAO PAULO, 05.313-020 BR</v>
    <v>Specialty Retailers</v>
    <v>VSTE3</v>
    <v>Ações</v>
    <v>VESTE S.A. ESTILO (BVMF:VSTE3)</v>
    <v>0</v>
    <v>0</v>
    <v>7500</v>
  </rv>
  <rv s="2">
    <v>800</v>
  </rv>
  <rv s="0">
    <v>https://www.bing.com/financeapi/forcetrigger?t=apmxkr&amp;q=BVMF%3aMGEL4&amp;form=skydnc</v>
    <v>Learn more on Bing</v>
  </rv>
  <rv s="8">
    <v>pt-BR</v>
    <v>apmxkr</v>
    <v>268435456</v>
    <v>1</v>
    <v>Da plataforma Refinitiv</v>
    <v>14</v>
    <v>15</v>
    <v>Mangels Industrial S.A. (BVMF:MGEL4)</v>
    <v>12</v>
    <v>17</v>
    <v>Finance</v>
    <v>5</v>
    <v>13.68</v>
    <v>3.98</v>
    <v>BVMF</v>
    <v>5783210</v>
    <v>4.13</v>
    <v>1928</v>
    <v>4.05</v>
    <v>1.2224999999999999</v>
    <v>B3 - Brazil Stock Exchange</v>
    <v>15049670</v>
    <v>A MANGELS INDUSTRIAL S.A. é uma empresa brasileira dedicada à fabricação de produtos metálicos. A Empresa divide seus negócios em quatro segmentos: Aço, Rodas, Cilindros e Galvanização. No segmento Aço, a Empresa atua na produção de tiras de aço e peças estampadas para os setores automotivo, de eletrodomésticos e de engenharia civil, entre outros. No segmento Rodas, produz rodas de alumínio para fabricantes de componentes automotivos. No segmento Cilindros, a Mangels atua na produção de cilindros para gás liquefeito de petróleo (GLP), ar comprimido e tanques de combustível para caminhões e ônibus. No segmento Galvanização, atua sobretudo na produção de muretas de proteção de rodovias e pisos industriais, bem como na prestação de serviços de galvanização por imersão a quente de peças de aço. Em 1.º de novembro de 2013 a Empresa entrou com um pedido de falência junto ao Distrito da Capital do Estado de São Paulo.</v>
    <v>BVMF</v>
    <v>4.13</v>
    <v>3100</v>
    <v>45849.821342592593</v>
    <v>802</v>
    <v>1170</v>
    <v>BRL</v>
    <v>Mangels Industrial S.A.</v>
    <v>Mangels Industrial S.A.</v>
    <v>4.13</v>
    <v>4.05</v>
    <v>Rodovia Fernao Dias, Km 755,6, Distrito Industrial, Tres Coracoes, MINAS GERAIS, 37.418-760 BR</v>
    <v>Metals &amp; Mining</v>
    <v>MGEL4</v>
    <v>Ações</v>
    <v>Mangels Industrial S.A. (BVMF:MGEL4)</v>
    <v>-0.08</v>
    <v>-1.9370000000000002E-2</v>
    <v>1600</v>
  </rv>
  <rv s="2">
    <v>803</v>
  </rv>
  <rv s="0">
    <v>https://www.bing.com/financeapi/forcetrigger?t=apn91h&amp;q=BVMF%3aRCSL3&amp;form=skydnc</v>
    <v>Learn more on Bing</v>
  </rv>
  <rv s="8">
    <v>pt-BR</v>
    <v>apn91h</v>
    <v>268435456</v>
    <v>1</v>
    <v>Da plataforma Refinitiv</v>
    <v>14</v>
    <v>15</v>
    <v>RECRUSUL S.A. (BVMF:RCSL3)</v>
    <v>12</v>
    <v>16</v>
    <v>Finance</v>
    <v>5</v>
    <v>8.57</v>
    <v>2.08</v>
    <v>BVMF</v>
    <v>31822290</v>
    <v>2.27</v>
    <v>1954</v>
    <v>2.08</v>
    <v>1.4935</v>
    <v>B3 - Brazil Stock Exchange</v>
    <v>42707910</v>
    <v>A RECRUSUL S.A. é uma empresa brasileira que se dedica principalmente à produção de semirreboques e tanques especializados. A Empresa divide seu negócio em dois segmentos: Implementos Rodoviários e Refrigeração Industrial e Assistência Técnica. Por meio do segmento de Implementos Rodoviários, a Empresa atua na produção de semirreboques refrigerados; tanques para transporte de combustíveis; tanques de aço inoxidável para produtos químicos, petroquímicos e alimentos em geral, e silos para indústrias de alimentos, cimento e construção, entre outros. No segmento de Refrigeração e Assistência Técnica, a Empresa atua no fornecimento de soluções customizadas para equipamentos industriais, como evaporadores, separadores e tanques de líquidos, condensadores evaporativos, painéis isolantes, túneis de congelamento e portas isoladas. Em 31 de dezembro de 2011, as subsidiárias da Empresa eram Refrima SA, Refrisa SA e Recrusul Turismo Ltda.</v>
    <v>BVMF</v>
    <v>2.23</v>
    <v>106</v>
    <v>45850</v>
    <v>805</v>
    <v>3630820</v>
    <v>BRL</v>
    <v>RECRUSUL S.A.</v>
    <v>RECRUSUL S.A.</v>
    <v>2.25</v>
    <v>2.12</v>
    <v>Av. Luiz Pasteur, 1020, Tres Portos, SAPUCAIA DO SUL, RIO GRANDE DO SUL, 93.212-360 BR</v>
    <v>Automobiles &amp; Auto Parts</v>
    <v>RCSL3</v>
    <v>Ações</v>
    <v>RECRUSUL S.A. (BVMF:RCSL3)</v>
    <v>-0.11</v>
    <v>-4.9326999999999996E-2</v>
    <v>148500</v>
  </rv>
  <rv s="2">
    <v>806</v>
  </rv>
  <rv s="0">
    <v>https://www.bing.com/financeapi/forcetrigger?t=c2vnz2&amp;q=BVMF%3aARML3&amp;form=skydnc</v>
    <v>Learn more on Bing</v>
  </rv>
  <rv s="8">
    <v>pt-BR</v>
    <v>c2vnz2</v>
    <v>268435456</v>
    <v>1</v>
    <v>Da plataforma Refinitiv</v>
    <v>14</v>
    <v>15</v>
    <v>Armac Locação, Logística e Serviços S.A. (BVMF:ARML3)</v>
    <v>12</v>
    <v>17</v>
    <v>Finance</v>
    <v>5</v>
    <v>10.83</v>
    <v>2.95</v>
    <v>BVMF</v>
    <v>346494100</v>
    <v>4.0599999999999996</v>
    <v>1994</v>
    <v>3.8</v>
    <v>1.3655999999999999</v>
    <v>B3 - Brazil Stock Exchange</v>
    <v>1396371223</v>
    <v>A Armac Locacao Logistica e Servicos SA é uma plataforma de locação de equipamentos multicategoria sediada no Brasil. A Companhia oferece equipamentos de linha amarela, que englobam pás-carregadeiras, escavadeiras hidráulicas, retroescavadeiras, tratores de esteira, minicarregadeiras, motoniveladoras, rolos compactadores, tratores agrícolas, plataformas elevatórias, empilhadeiras e caminhões, entre outros. A Companhia serve uma base de clientes distribuída em 23 Estados brasileiros e no Distrito Federal, nos setores de logística agrícola, agroindustrial, fertilizantes, mineração, papel e celulose, alimentos &amp; bebidas, transportes e infraestrutura. O modelo de negócio da Companhia consiste na conversão da propriedade do equipamento para um serviço prestado ao cliente, em contratos que incluem disponibilidade para manutenção 24 horas por dia no ativo e flexibilidade para devolução ou substituição do equipamento quando o projeto do cliente é finalizado.</v>
    <v>BVMF</v>
    <v>3.84</v>
    <v>6000</v>
    <v>45849.838561492972</v>
    <v>808</v>
    <v>4040750</v>
    <v>BRL</v>
    <v>Armac Locação, Logística e Serviços S.A.</v>
    <v>Armac Locação, Logística e Serviços S.A.</v>
    <v>3.87</v>
    <v>4.03</v>
    <v>Av. Marcos Penteado de Ulhoa Rodrigues, 939, Conj. 701 e 702 Torre II, Ed. Jatoba, Tambore, BARUERI, SAO PAULO, 06.460-040 BR</v>
    <v>Professional &amp; Commercial Services</v>
    <v>ARML3</v>
    <v>Ações</v>
    <v>Armac Locação, Logística e Serviços S.A. (BVMF:ARML3)</v>
    <v>0.19</v>
    <v>4.9478999999999995E-2</v>
    <v>2649600</v>
  </rv>
  <rv s="2">
    <v>809</v>
  </rv>
  <rv s="0">
    <v>https://www.bing.com/financeapi/forcetrigger?t=az8xkr&amp;q=BVMF%3aATMP3&amp;form=skydnc</v>
    <v>Learn more on Bing</v>
  </rv>
  <rv s="8">
    <v>pt-BR</v>
    <v>az8xkr</v>
    <v>268435456</v>
    <v>1</v>
    <v>Da plataforma Refinitiv</v>
    <v>14</v>
    <v>15</v>
    <v>ATMA Participações S.A. - Em Recuperação Judicial (BVMF:CTAX3)</v>
    <v>12</v>
    <v>16</v>
    <v>Finance</v>
    <v>5</v>
    <v>2</v>
    <v>1</v>
    <v>BVMF</v>
    <v>26710360</v>
    <v>1.1399999999999999</v>
    <v>2000</v>
    <v>1.1200000000000001</v>
    <v>1.7034</v>
    <v>B3 - Brazil Stock Exchange</v>
    <v>29915603</v>
    <v>ATMA Participações SA em Recuperacao Judicial, anteriormente Liq Participações SA é uma holding brasileira. As atividades da Companhia são realizadas através de dois segmentos operacionais: Atendimento ao Cliente e Manutenção Industrial. O segmento de Atendimento ao Cliente compreende a Contax SA, fornecedora de soluções de gerenciamento de relacionamento com o cliente (CRM) e serviços de Business Process Outsourcing (BPO). O segmento de Manutenção Industrial compreende a Elfe Operacao e Manutencao SA, que oferece um portfólio completo de operações, manutenção industrial e serviços de instalações, prestando serviços em plantas industriais e outras instalações. A ATMA Participações é também responsável pela prestação de serviços de tecnologia, através da Solvian Tecnologia e Integracao Eireli - uma empresa tecnológica que possibilita maior eficiência e qualidade operacional para seus clientes através de soluções e insights on-line, utilizando inteligência artificial e análise.</v>
    <v>BVMF</v>
    <v>1.17</v>
    <v>57370</v>
    <v>45850</v>
    <v>811</v>
    <v>860</v>
    <v>BRL</v>
    <v>ATMA Participações S.A. - Em Recuperação Judicial</v>
    <v>ATMA Participações S.A. - Em Recuperação Judicial</v>
    <v>1.1399999999999999</v>
    <v>1.1200000000000001</v>
    <v>Rua Beneditinos, n. 15/17, Parte, Centro, RIO DE JANEIRO, RIO DE JANEIRO, 20.081-050 BR</v>
    <v>Professional &amp; Commercial Services</v>
    <v>CTAX3</v>
    <v>Ações</v>
    <v>ATMA Participações S.A. - Em Recuperação Judicial (BVMF:CTAX3)</v>
    <v>-0.05</v>
    <v>-4.2735000000000002E-2</v>
    <v>600</v>
  </rv>
  <rv s="2">
    <v>812</v>
  </rv>
  <rv s="4">
    <v>12</v>
    <v>Preço</v>
    <v>0</v>
  </rv>
  <rv s="4">
    <v>12</v>
    <v>Volume</v>
    <v>0</v>
  </rv>
  <rv s="4">
    <v>12</v>
    <v>Variação (%)</v>
    <v>0</v>
  </rv>
  <rv s="4">
    <v>12</v>
    <v>Baixo</v>
    <v>0</v>
  </rv>
  <rv s="4">
    <v>12</v>
    <v>Alto</v>
    <v>0</v>
  </rv>
  <rv s="4">
    <v>12</v>
    <v>Fechamento anterior</v>
    <v>0</v>
  </rv>
  <rv s="0">
    <v>https://www.bing.com/financeapi/forcetrigger?t=apnetc&amp;q=BVMF%3aTAEE3&amp;form=skydnc</v>
    <v>Learn more on Bing</v>
  </rv>
  <rv s="8">
    <v>pt-BR</v>
    <v>apnetc</v>
    <v>268435456</v>
    <v>1</v>
    <v>Da plataforma Refinitiv</v>
    <v>14</v>
    <v>15</v>
    <v>Transmissora Aliança de Energia Elétrica S/A (BVMF:TAEE3)</v>
    <v>12</v>
    <v>16</v>
    <v>Finance</v>
    <v>5</v>
    <v>12.19</v>
    <v>10.17</v>
    <v>BVMF</v>
    <v>344498900</v>
    <v>11.38</v>
    <v>2006</v>
    <v>11.2</v>
    <v>0.70609999999999995</v>
    <v>B3 - Brazil Stock Exchange</v>
    <v>11712960000</v>
    <v>Transmissora Alianca de Energia Elétrica S/A, anteriormente Terna Participações SA é uma empresa brasileira de energia. Opera através de um segmento operacional - a transmissão de energia elétrica. A Empresa dedica-se exclusivamente à construção, operação e manutenção de ativos de transmissão. O portfólio da Transmissora Alianca de Energia Eletrica inclui mais de 14 000 km de linhas em operação e mais de 110 subestações. Além disso, possui ativos em operação com tensões entre 230 e 525kV e está presente em todas as 5 regiões do Brasil. A Companhia possui inúmeras subsidiárias, como a Brasnorte Transmissora de Energia S/A, a Ananai Transmissora de Energia Elétrica S/A e a Companhia Transudeste de Transmissao.</v>
    <v>BVMF</v>
    <v>11.36</v>
    <v>854</v>
    <v>45850</v>
    <v>820</v>
    <v>1181520</v>
    <v>BRL</v>
    <v>Transmissora Aliança de Energia Elétrica S/A</v>
    <v>Transmissora Aliança de Energia Elétrica S/A</v>
    <v>11.38</v>
    <v>11.3</v>
    <v>Av. das Americas, 2480 Bloco 6, Barra da Tijuca, RIO DE JANEIRO, RIO DE JANEIRO, 22.640-101 BR</v>
    <v>Electrical Utilities &amp; IPPs</v>
    <v>TAEE3</v>
    <v>Ações</v>
    <v>Transmissora Aliança de Energia Elétrica S/A (BVMF:TAEE3)</v>
    <v>-0.06</v>
    <v>-5.2820000000000002E-3</v>
    <v>69300</v>
  </rv>
  <rv s="2">
    <v>821</v>
  </rv>
</rvData>
</file>

<file path=xl/richData/rdrichvaluestructure.xml><?xml version="1.0" encoding="utf-8"?>
<rvStructures xmlns="http://schemas.microsoft.com/office/spreadsheetml/2017/richdata" count="18">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eta"/>
    <k n="Bolsa" t="s"/>
    <k n="Capitalização de mercado"/>
    <k n="Fechamento anterior"/>
    <k n="Hora da última transação"/>
    <k n="LearnMoreOnLink" t="r"/>
    <k n="Moeda" t="s"/>
    <k n="Nome" t="s"/>
    <k n="Pendência"/>
    <k n="Preço"/>
    <k n="Símbolo do ticker" t="s"/>
    <k n="Tipo de instrumento" t="s"/>
    <k n="UniqueName" t="s"/>
    <k n="Variação"/>
    <k n="Variação (%)"/>
    <k n="Volume"/>
  </s>
  <s t="_linkedentity">
    <k n="%cvi" t="r"/>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lto"/>
    <k n="Baixo"/>
    <k n="Fechamento anterior"/>
    <k n="LearnMoreOnLink" t="r"/>
    <k n="Nome" t="s"/>
    <k n="País/região" t="s"/>
    <k n="Pendência"/>
    <k n="Preço"/>
    <k n="Símbolo do ticker" t="s"/>
    <k n="Tipo de instrumento" t="s"/>
    <k n="UniqueName" t="s"/>
    <k n="Variação"/>
    <k n="Variação (%)"/>
  </s>
  <s t="_error">
    <k n="errorType" t="i"/>
    <k n="field" t="s"/>
    <k n="subType" t="i"/>
  </s>
  <s t="_error">
    <k n="errorType" t="i"/>
    <k n="subType" t="i"/>
  </s>
  <s t="_error">
    <k n="errorType" t="i"/>
    <k n="propagated" t="b"/>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Funcionários"/>
    <k n="Hora da última transação"/>
    <k n="Imagem" t="r"/>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Funcionários"/>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Baixo"/>
    <k n="Beta"/>
    <k n="Bolsa" t="s"/>
    <k n="Capitalização de mercado"/>
    <k n="Descrição" t="s"/>
    <k n="ExchangeID" t="s"/>
    <k n="Fechamento anterior"/>
    <k n="Hora da última transação"/>
    <k n="LearnMoreOnLink" t="r"/>
    <k n="Média de volume"/>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olsa" t="s"/>
    <k n="Capitalização de mercado"/>
    <k n="Descrição" t="s"/>
    <k n="ExchangeID" t="s"/>
    <k n="Fechamento anterior"/>
    <k n="Funcionários"/>
    <k n="Hora da última transação"/>
    <k n="LearnMoreOnLink" t="r"/>
    <k n="Moeda" t="s"/>
    <k n="Nome" t="s"/>
    <k n="Nome oficial" t="s"/>
    <k n="Pendência"/>
    <k n="Preço"/>
    <k n="Sede" t="s"/>
    <k n="Setor" t="s"/>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lto"/>
    <k n="Baixo"/>
    <k n="Bolsa" t="s"/>
    <k n="Capitalização de mercado"/>
    <k n="Fechamento anterior"/>
    <k n="Hora da última transação"/>
    <k n="Moeda" t="s"/>
    <k n="Nome" t="s"/>
    <k n="Pendência"/>
    <k n="Preço"/>
    <k n="Símbolo do ticker" t="s"/>
    <k n="Tipo de instrumento" t="s"/>
    <k n="UniqueName" t="s"/>
    <k n="Variação"/>
    <k n="Variação (%)"/>
    <k n="Volume"/>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o"/>
    <k n="Ano de incorporação"/>
    <k n="Baixo"/>
    <k n="Beta"/>
    <k n="Bolsa" t="s"/>
    <k n="Capitalização de mercado"/>
    <k n="Descrição" t="s"/>
    <k n="ExchangeID" t="s"/>
    <k n="Fechamento anterior"/>
    <k n="Hora da última transação"/>
    <k n="LearnMoreOnLink" t="r"/>
    <k n="Moeda" t="s"/>
    <k n="Nome" t="s"/>
    <k n="Nome oficial" t="s"/>
    <k n="Pendência"/>
    <k n="Preço"/>
    <k n="Sede" t="s"/>
    <k n="Setor" t="s"/>
    <k n="Símbolo do ticker" t="s"/>
    <k n="Tipo de instrumento" t="s"/>
    <k n="UniqueName" t="s"/>
    <k n="Variação"/>
    <k n="Variação (%)"/>
    <k n="Volume"/>
  </s>
</rvStructures>
</file>

<file path=xl/richData/rdsupportingpropertybag.xml><?xml version="1.0" encoding="utf-8"?>
<supportingPropertyBags xmlns="http://schemas.microsoft.com/office/spreadsheetml/2017/richdata2">
  <spbArrays count="11">
    <a count="33">
      <v t="s">%EntityServiceId</v>
      <v t="s">_Format</v>
      <v t="s">%IsRefreshable</v>
      <v t="s">_CanonicalPropertyNames</v>
      <v t="s">%EntityCulture</v>
      <v t="s">%EntityId</v>
      <v t="s">_Icon</v>
      <v t="s">_Display</v>
      <v t="s">Nome</v>
      <v t="s">_SubLabel</v>
      <v t="s">Preço</v>
      <v t="s">Bolsa</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Tipo de instrumento</v>
      <v t="s">_Flags</v>
      <v t="s">UniqueName</v>
      <v t="s">_DisplayString</v>
      <v t="s">LearnMoreOnLink</v>
      <v t="s">%ProviderInfo</v>
    </a>
    <a count="27">
      <v t="s">%EntityServiceId</v>
      <v t="s">_Format</v>
      <v t="s">%IsRefreshable</v>
      <v t="s">_CanonicalPropertyNames</v>
      <v t="s">%EntityCulture</v>
      <v t="s">%EntityId</v>
      <v t="s">_Icon</v>
      <v t="s">_Display</v>
      <v t="s">Nome</v>
      <v t="s">Preço</v>
      <v t="s">Símbolo do ticker</v>
      <v t="s">_SubLabel</v>
      <v t="s">Variação</v>
      <v t="s">Variação (%)</v>
      <v t="s">País/região</v>
      <v t="s">Fechamento anterior</v>
      <v t="s">Pendência</v>
      <v t="s">Alto</v>
      <v t="s">Baixo</v>
      <v t="s">52 semanas de alta</v>
      <v t="s">52 semanas de baixa</v>
      <v t="s">Tipo de instrumento</v>
      <v t="s">_Flags</v>
      <v t="s">UniqueName</v>
      <v t="s">_DisplayString</v>
      <v t="s">LearnMoreOnLink</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2">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Ano de incorporação</v>
      <v t="s">_Flags</v>
      <v t="s">UniqueName</v>
      <v t="s">_DisplayString</v>
      <v t="s">LearnMoreOnLink</v>
      <v t="s">ExchangeID</v>
      <v t="s">%ProviderInfo</v>
    </a>
    <a count="43">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Imagem</v>
      <v t="s">ExchangeID</v>
      <v t="s">%ProviderInfo</v>
    </a>
    <a count="41">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Média de volume</v>
      <v t="s">Capitalização de mercado</v>
      <v t="s">Beta</v>
      <v t="s">Ações em circulação</v>
      <v t="s">Descrição</v>
      <v t="s">Sede</v>
      <v t="s">Setor</v>
      <v t="s">Tipo de instrumento</v>
      <v t="s">_Flags</v>
      <v t="s">UniqueName</v>
      <v t="s">_DisplayString</v>
      <v t="s">LearnMoreOnLink</v>
      <v t="s">ExchangeID</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Ações em circulação</v>
      <v t="s">Descrição</v>
      <v t="s">Funcionários</v>
      <v t="s">Sede</v>
      <v t="s">Setor</v>
      <v t="s">Tipo de instrumento</v>
      <v t="s">Ano de incorporação</v>
      <v t="s">_Flags</v>
      <v t="s">UniqueName</v>
      <v t="s">_DisplayString</v>
      <v t="s">LearnMoreOnLink</v>
      <v t="s">ExchangeID</v>
      <v t="s">%ProviderInfo</v>
    </a>
    <a count="31">
      <v t="s">%EntityServiceId</v>
      <v t="s">_Format</v>
      <v t="s">%IsRefreshable</v>
      <v t="s">_CanonicalPropertyNames</v>
      <v t="s">%EntityCulture</v>
      <v t="s">%EntityId</v>
      <v t="s">_Icon</v>
      <v t="s">_Display</v>
      <v t="s">Nome</v>
      <v t="s">Preço</v>
      <v t="s">Bolsa</v>
      <v t="s">_SubLabel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Tipo de instrumento</v>
      <v t="s">_Flags</v>
      <v t="s">UniqueName</v>
      <v t="s">_DisplayString</v>
      <v t="s">%ProviderInfo</v>
    </a>
    <a count="40">
      <v t="s">%EntityServiceId</v>
      <v t="s">_Format</v>
      <v t="s">%IsRefreshable</v>
      <v t="s">_CanonicalPropertyNames</v>
      <v t="s">%EntityCulture</v>
      <v t="s">%EntityId</v>
      <v t="s">_Icon</v>
      <v t="s">_Display</v>
      <v t="s">Nome</v>
      <v t="s">_SubLabel</v>
      <v t="s">Preço</v>
      <v t="s">Bolsa</v>
      <v t="s">Nome oficial</v>
      <v t="s">Hora da última transação</v>
      <v t="s">Símbolo do ticker</v>
      <v t="s">Abreviatura do câmbio</v>
      <v t="s">Variação</v>
      <v t="s">Variação (%)</v>
      <v t="s">Moeda</v>
      <v t="s">Fechamento anterior</v>
      <v t="s">Pendência</v>
      <v t="s">Alto</v>
      <v t="s">Baixo</v>
      <v t="s">52 semanas de alta</v>
      <v t="s">52 semanas de baixa</v>
      <v t="s">Volume</v>
      <v t="s">Capitalização de mercado</v>
      <v t="s">Beta</v>
      <v t="s">Ações em circulação</v>
      <v t="s">Descrição</v>
      <v t="s">Sede</v>
      <v t="s">Setor</v>
      <v t="s">Tipo de instrumento</v>
      <v t="s">Ano de incorporação</v>
      <v t="s">_Flags</v>
      <v t="s">UniqueName</v>
      <v t="s">_DisplayString</v>
      <v t="s">LearnMoreOnLink</v>
      <v t="s">ExchangeID</v>
      <v t="s">%ProviderInfo</v>
    </a>
  </spbArrays>
  <spbData count="46">
    <spb s="0">
      <v>High</v>
      <v>Beta</v>
      <v>Name</v>
      <v>Low</v>
      <v>Exchange</v>
      <v>Currency</v>
      <v>Price</v>
      <v>Volume</v>
      <v>Change</v>
      <v>Open</v>
      <v>UniqueName</v>
      <v>Change (%)</v>
      <v>%ProviderInfo</v>
      <v>LearnMoreOnLink</v>
      <v>Ticker symbol</v>
      <v>52 week high</v>
      <v>52 week low</v>
      <v>Previous close</v>
      <v>Instrument type</v>
      <v>Exchange abbreviation</v>
      <v>Market cap</v>
      <v>Last trade time</v>
    </spb>
    <spb s="1">
      <v>0</v>
      <v>Name</v>
      <v>LearnMoreOnLink</v>
    </spb>
    <spb s="2">
      <v>0</v>
      <v>0</v>
      <v>0</v>
    </spb>
    <spb s="3">
      <v>2</v>
      <v>2</v>
      <v>2</v>
    </spb>
    <spb s="4">
      <v>1</v>
      <v>2</v>
      <v>3</v>
      <v>1</v>
      <v>1</v>
      <v>4</v>
      <v>1</v>
      <v>1</v>
      <v>5</v>
      <v>6</v>
      <v>1</v>
      <v>1</v>
      <v>1</v>
      <v>7</v>
      <v>8</v>
    </spb>
    <spb s="5">
      <v>Atraso de 30 minutos</v>
      <v xml:space="preserve">do fechamento anterior </v>
      <v xml:space="preserve">do fechamento anterior </v>
      <v>GMT</v>
    </spb>
    <spb s="6">
      <v>High</v>
      <v>Name</v>
      <v>Low</v>
      <v>Price</v>
      <v>Change</v>
      <v>Open</v>
      <v>UniqueName</v>
      <v>Country/region</v>
      <v>Change (%)</v>
      <v>%ProviderInfo</v>
      <v>LearnMoreOnLink</v>
      <v>Ticker symbol</v>
      <v>52 week high</v>
      <v>52 week low</v>
      <v>Previous close</v>
      <v>Instrument type</v>
    </spb>
    <spb s="1">
      <v>1</v>
      <v>Name</v>
      <v>LearnMoreOnLink</v>
    </spb>
    <spb s="7">
      <v>1</v>
      <v>3</v>
      <v>1</v>
      <v>1</v>
      <v>1</v>
      <v>1</v>
      <v>5</v>
      <v>6</v>
      <v>1</v>
      <v>1</v>
      <v>1</v>
    </spb>
    <spb s="8">
      <v xml:space="preserve">do fechamento anterior </v>
      <v xml:space="preserve">do fechamento anterior </v>
    </spb>
    <spb s="9">
      <v>High</v>
      <v>Beta</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2</v>
      <v>Name</v>
      <v>LearnMoreOnLink</v>
    </spb>
    <spb s="10">
      <v>2</v>
      <v>2</v>
      <v>2</v>
      <v>2</v>
    </spb>
    <spb s="11">
      <v>1</v>
      <v>2</v>
      <v>3</v>
      <v>1</v>
      <v>1</v>
      <v>4</v>
      <v>1</v>
      <v>1</v>
      <v>4</v>
      <v>5</v>
      <v>6</v>
      <v>1</v>
      <v>1</v>
      <v>9</v>
      <v>4</v>
      <v>1</v>
      <v>7</v>
      <v>10</v>
    </spb>
    <spb s="12">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3</v>
      <v>Name</v>
      <v>LearnMoreOnLink</v>
    </spb>
    <spb s="13">
      <v>1</v>
      <v>2</v>
      <v>3</v>
      <v>1</v>
      <v>1</v>
      <v>4</v>
      <v>1</v>
      <v>1</v>
      <v>4</v>
      <v>5</v>
      <v>4</v>
      <v>6</v>
      <v>1</v>
      <v>1</v>
      <v>9</v>
      <v>4</v>
      <v>1</v>
      <v>7</v>
      <v>8</v>
    </spb>
    <spb s="13">
      <v>1</v>
      <v>2</v>
      <v>3</v>
      <v>1</v>
      <v>1</v>
      <v>4</v>
      <v>1</v>
      <v>1</v>
      <v>4</v>
      <v>5</v>
      <v>4</v>
      <v>6</v>
      <v>1</v>
      <v>1</v>
      <v>9</v>
      <v>4</v>
      <v>1</v>
      <v>7</v>
      <v>10</v>
    </spb>
    <spb s="14">
      <v>High</v>
      <v>Beta</v>
      <v>Name</v>
      <v>Headquarters</v>
      <v>Low</v>
      <v>Exchange</v>
      <v>Currency</v>
      <v>Price</v>
      <v>Industry</v>
      <v>Volume</v>
      <v>Change</v>
      <v>Description</v>
      <v>Open</v>
      <v>ExchangeID</v>
      <v>UniqueName</v>
      <v>Official name</v>
      <v>Change (%)</v>
      <v>%ProviderInfo</v>
      <v>LearnMoreOnLink</v>
      <v>Volume average</v>
      <v>Ticker symbol</v>
      <v>52 week high</v>
      <v>52 week low</v>
      <v>Year incorporated</v>
      <v>Shares outstanding</v>
      <v>Previous close</v>
      <v>Instrument type</v>
      <v>Exchange abbreviation</v>
      <v>Market cap</v>
      <v>Last trade time</v>
    </spb>
    <spb s="1">
      <v>4</v>
      <v>Name</v>
      <v>LearnMoreOnLink</v>
    </spb>
    <spb s="15">
      <v>1</v>
      <v>2</v>
      <v>3</v>
      <v>1</v>
      <v>1</v>
      <v>4</v>
      <v>1</v>
      <v>1</v>
      <v>5</v>
      <v>4</v>
      <v>6</v>
      <v>1</v>
      <v>1</v>
      <v>9</v>
      <v>4</v>
      <v>1</v>
      <v>7</v>
      <v>8</v>
    </spb>
    <spb s="16">
      <v>High</v>
      <v>Beta</v>
      <v>Name</v>
      <v>Headquarters</v>
      <v>Low</v>
      <v>Exchange</v>
      <v>Currency</v>
      <v>Price</v>
      <v>Industry</v>
      <v>Image</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spb>
    <spb s="1">
      <v>5</v>
      <v>Name</v>
      <v>LearnMoreOnLink</v>
    </spb>
    <spb s="17">
      <v>0</v>
      <v>0</v>
    </spb>
    <spb s="18">
      <v>23</v>
      <v>2</v>
      <v>2</v>
      <v>2</v>
      <v>2</v>
    </spb>
    <spb s="19">
      <v>1</v>
      <v>2</v>
      <v>3</v>
      <v>1</v>
      <v>1</v>
      <v>11</v>
      <v>4</v>
      <v>1</v>
      <v>1</v>
      <v>4</v>
      <v>5</v>
      <v>4</v>
      <v>6</v>
      <v>1</v>
      <v>1</v>
      <v>9</v>
      <v>4</v>
      <v>1</v>
      <v>7</v>
      <v>10</v>
    </spb>
    <spb s="20">
      <v>Da plataforma Refinitiv</v>
    </spb>
    <spb s="15">
      <v>1</v>
      <v>2</v>
      <v>3</v>
      <v>1</v>
      <v>1</v>
      <v>4</v>
      <v>1</v>
      <v>1</v>
      <v>5</v>
      <v>4</v>
      <v>6</v>
      <v>1</v>
      <v>1</v>
      <v>9</v>
      <v>4</v>
      <v>1</v>
      <v>7</v>
      <v>10</v>
    </spb>
    <spb s="21">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Shares outstanding</v>
      <v>Previous close</v>
      <v>Instrument type</v>
      <v>Exchange abbreviation</v>
      <v>Market cap</v>
      <v>Last trade time</v>
    </spb>
    <spb s="1">
      <v>6</v>
      <v>Name</v>
      <v>LearnMoreOnLink</v>
    </spb>
    <spb s="22">
      <v>1</v>
      <v>2</v>
      <v>3</v>
      <v>1</v>
      <v>1</v>
      <v>4</v>
      <v>1</v>
      <v>1</v>
      <v>4</v>
      <v>5</v>
      <v>4</v>
      <v>6</v>
      <v>1</v>
      <v>1</v>
      <v>4</v>
      <v>1</v>
      <v>7</v>
      <v>10</v>
    </spb>
    <spb s="23">
      <v>High</v>
      <v>Beta</v>
      <v>Name</v>
      <v>Headquarters</v>
      <v>Low</v>
      <v>Exchange</v>
      <v>Currency</v>
      <v>Price</v>
      <v>Industry</v>
      <v>Volume</v>
      <v>Change</v>
      <v>Description</v>
      <v>Open</v>
      <v>ExchangeID</v>
      <v>UniqueName</v>
      <v>Official name</v>
      <v>Change (%)</v>
      <v>%ProviderInfo</v>
      <v>LearnMoreOnLink</v>
      <v>Volume average</v>
      <v>Ticker symbol</v>
      <v>52 week high</v>
      <v>52 week low</v>
      <v>Shares outstanding</v>
      <v>Previous close</v>
      <v>Instrument type</v>
      <v>Exchange abbreviation</v>
      <v>Market cap</v>
      <v>Last trade time</v>
    </spb>
    <spb s="1">
      <v>7</v>
      <v>Name</v>
      <v>LearnMoreOnLink</v>
    </spb>
    <spb s="24">
      <v>1</v>
      <v>2</v>
      <v>3</v>
      <v>1</v>
      <v>1</v>
      <v>4</v>
      <v>1</v>
      <v>1</v>
      <v>5</v>
      <v>4</v>
      <v>6</v>
      <v>1</v>
      <v>1</v>
      <v>4</v>
      <v>1</v>
      <v>7</v>
      <v>10</v>
    </spb>
    <spb s="19">
      <v>1</v>
      <v>2</v>
      <v>3</v>
      <v>1</v>
      <v>1</v>
      <v>11</v>
      <v>4</v>
      <v>1</v>
      <v>1</v>
      <v>4</v>
      <v>5</v>
      <v>4</v>
      <v>6</v>
      <v>1</v>
      <v>1</v>
      <v>9</v>
      <v>4</v>
      <v>1</v>
      <v>7</v>
      <v>8</v>
    </spb>
    <spb s="25">
      <v>High</v>
      <v>Name</v>
      <v>Headquarters</v>
      <v>Low</v>
      <v>Exchange</v>
      <v>Currency</v>
      <v>Price</v>
      <v>Industry</v>
      <v>Volume</v>
      <v>Change</v>
      <v>Description</v>
      <v>Open</v>
      <v>ExchangeID</v>
      <v>UniqueName</v>
      <v>Employees</v>
      <v>Official name</v>
      <v>Change (%)</v>
      <v>%ProviderInfo</v>
      <v>LearnMoreOnLink</v>
      <v>Ticker symbol</v>
      <v>52 week high</v>
      <v>52 week low</v>
      <v>Year incorporated</v>
      <v>Shares outstanding</v>
      <v>Previous close</v>
      <v>Instrument type</v>
      <v>Exchange abbreviation</v>
      <v>Market cap</v>
      <v>Last trade time</v>
    </spb>
    <spb s="1">
      <v>8</v>
      <v>Name</v>
      <v>LearnMoreOnLink</v>
    </spb>
    <spb s="26">
      <v>1</v>
      <v>3</v>
      <v>1</v>
      <v>1</v>
      <v>4</v>
      <v>1</v>
      <v>1</v>
      <v>4</v>
      <v>5</v>
      <v>6</v>
      <v>1</v>
      <v>1</v>
      <v>9</v>
      <v>4</v>
      <v>1</v>
      <v>7</v>
      <v>8</v>
    </spb>
    <spb s="27">
      <v>High</v>
      <v>Name</v>
      <v>Low</v>
      <v>Exchange</v>
      <v>Currency</v>
      <v>Price</v>
      <v>Volume</v>
      <v>Change</v>
      <v>Open</v>
      <v>UniqueName</v>
      <v>Change (%)</v>
      <v>%ProviderInfo</v>
      <v>Ticker symbol</v>
      <v>52 week high</v>
      <v>52 week low</v>
      <v>Previous close</v>
      <v>Instrument type</v>
      <v>Exchange abbreviation</v>
      <v>Market cap</v>
      <v>Last trade time</v>
    </spb>
    <spb s="28">
      <v>9</v>
      <v>Name</v>
    </spb>
    <spb s="29">
      <v>2</v>
      <v>2</v>
    </spb>
    <spb s="30">
      <v>12</v>
      <v>3</v>
      <v>12</v>
      <v>12</v>
      <v>4</v>
      <v>12</v>
      <v>12</v>
      <v>5</v>
      <v>6</v>
      <v>12</v>
      <v>12</v>
      <v>12</v>
      <v>13</v>
      <v>10</v>
    </spb>
    <spb s="31">
      <v xml:space="preserve">do fechamento anterior </v>
      <v xml:space="preserve">do fechamento anterior </v>
      <v>GMT</v>
    </spb>
    <spb s="32">
      <v>High</v>
      <v>Beta</v>
      <v>Name</v>
      <v>Headquarters</v>
      <v>Low</v>
      <v>Exchange</v>
      <v>Currency</v>
      <v>Price</v>
      <v>Industry</v>
      <v>Volume</v>
      <v>Change</v>
      <v>Description</v>
      <v>Open</v>
      <v>ExchangeID</v>
      <v>UniqueName</v>
      <v>Official name</v>
      <v>Change (%)</v>
      <v>%ProviderInfo</v>
      <v>LearnMoreOnLink</v>
      <v>Ticker symbol</v>
      <v>52 week high</v>
      <v>52 week low</v>
      <v>Year incorporated</v>
      <v>Shares outstanding</v>
      <v>Previous close</v>
      <v>Instrument type</v>
      <v>Exchange abbreviation</v>
      <v>Market cap</v>
      <v>Last trade time</v>
    </spb>
    <spb s="1">
      <v>10</v>
      <v>Name</v>
      <v>LearnMoreOnLink</v>
    </spb>
    <spb s="33">
      <v>1</v>
      <v>2</v>
      <v>3</v>
      <v>1</v>
      <v>1</v>
      <v>4</v>
      <v>1</v>
      <v>1</v>
      <v>5</v>
      <v>6</v>
      <v>1</v>
      <v>1</v>
      <v>9</v>
      <v>4</v>
      <v>1</v>
      <v>7</v>
      <v>10</v>
    </spb>
  </spbData>
</supportingPropertyBags>
</file>

<file path=xl/richData/rdsupportingpropertybagstructure.xml><?xml version="1.0" encoding="utf-8"?>
<spbStructures xmlns="http://schemas.microsoft.com/office/spreadsheetml/2017/richdata2" count="34">
  <s>
    <k n="Alto" t="s"/>
    <k n="Beta" t="s"/>
    <k n="Nome" t="s"/>
    <k n="Baixo" t="s"/>
    <k n="Bolsa" t="s"/>
    <k n="Moeda" t="s"/>
    <k n="Preço" t="s"/>
    <k n="Volume" t="s"/>
    <k n="Variação" t="s"/>
    <k n="Pendência" t="s"/>
    <k n="UniqueName" t="s"/>
    <k n="Variação (%)" t="s"/>
    <k n="%ProviderInfo" t="s"/>
    <k n="LearnMoreOnLink" t="s"/>
    <k n="Símbolo do ticker" t="s"/>
    <k n="52 semanas de alta" t="s"/>
    <k n="52 semanas de baixa" t="s"/>
    <k n="Fechamento anterior" t="s"/>
    <k n="Tipo de instrumento" t="s"/>
    <k n="Abreviatura do câmbio" t="s"/>
    <k n="Capitalização de mercado" t="s"/>
    <k n="Hora da última transação" t="s"/>
  </s>
  <s>
    <k n="^Order" t="spba"/>
    <k n="TitleProperty" t="s"/>
    <k n="SubTitleProperty" t="s"/>
  </s>
  <s>
    <k n="ShowInCardView" t="b"/>
    <k n="ShowInDotNotation" t="b"/>
    <k n="ShowInAutoComplete" t="b"/>
  </s>
  <s>
    <k n="UniqueName" t="spb"/>
    <k n="`%ProviderInfo" t="spb"/>
    <k n="LearnMoreOnLink" t="spb"/>
  </s>
  <s>
    <k n="Alto" t="i"/>
    <k n="Beta" t="i"/>
    <k n="Nome" t="i"/>
    <k n="Baixo" t="i"/>
    <k n="Preço" t="i"/>
    <k n="Volume" t="i"/>
    <k n="Variação" t="i"/>
    <k n="Pendência" t="i"/>
    <k n="Variação (%)" t="i"/>
    <k n="`%EntityServiceId" t="i"/>
    <k n="52 semanas de alta" t="i"/>
    <k n="52 semanas de baixa" t="i"/>
    <k n="Fechamento anterior" t="i"/>
    <k n="Capitalização de mercado" t="i"/>
    <k n="Hora da última transação" t="i"/>
  </s>
  <s>
    <k n="Preço" t="s"/>
    <k n="Variação" t="s"/>
    <k n="Variação (%)" t="s"/>
    <k n="Hora da última transação" t="s"/>
  </s>
  <s>
    <k n="Alto" t="s"/>
    <k n="Nome" t="s"/>
    <k n="Baixo" t="s"/>
    <k n="Preço" t="s"/>
    <k n="Variação" t="s"/>
    <k n="Pendência" t="s"/>
    <k n="UniqueName" t="s"/>
    <k n="País/região" t="s"/>
    <k n="Variação (%)" t="s"/>
    <k n="%ProviderInfo" t="s"/>
    <k n="LearnMoreOnLink" t="s"/>
    <k n="Símbolo do ticker" t="s"/>
    <k n="52 semanas de alta" t="s"/>
    <k n="52 semanas de baixa" t="s"/>
    <k n="Fechamento anterior" t="s"/>
    <k n="Tipo de instrumento" t="s"/>
  </s>
  <s>
    <k n="Alto" t="i"/>
    <k n="Nome" t="i"/>
    <k n="Baixo" t="i"/>
    <k n="Preço" t="i"/>
    <k n="Variação" t="i"/>
    <k n="Pendência" t="i"/>
    <k n="Variação (%)" t="i"/>
    <k n="`%EntityServiceId" t="i"/>
    <k n="52 semanas de alta" t="i"/>
    <k n="52 semanas de baixa" t="i"/>
    <k n="Fechamento anterior" t="i"/>
  </s>
  <s>
    <k n="Variação" t="s"/>
    <k n="Variação (%)"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ExchangeID" t="spb"/>
    <k n="UniqueName" t="spb"/>
    <k n="`%ProviderInfo" t="spb"/>
    <k n="LearnMoreOnLink" t="spb"/>
  </s>
  <s>
    <k n="Alto" t="i"/>
    <k n="Beta"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no de incorporação" t="i"/>
    <k n="Ações em circulação" t="i"/>
    <k n="Fechamento anterior" t="i"/>
    <k n="Capitalização de mercado" t="i"/>
    <k n="Hora da última transação" t="i"/>
  </s>
  <s>
    <k n="Alto" t="s"/>
    <k n="Beta" t="s"/>
    <k n="Nome" t="s"/>
    <k n="Sede" t="s"/>
    <k n="Baixo" t="s"/>
    <k n="Bolsa" t="s"/>
    <k n="Moeda" t="s"/>
    <k n="Preço" t="s"/>
    <k n="Setor" t="s"/>
    <k n="Imagem"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ShowInDotNotation" t="b"/>
    <k n="ShowInAutoComplete" t="b"/>
  </s>
  <s>
    <k n="Imagem" t="spb"/>
    <k n="ExchangeID" t="spb"/>
    <k n="UniqueName" t="spb"/>
    <k n="`%ProviderInfo" t="spb"/>
    <k n="LearnMoreOnLink" t="spb"/>
  </s>
  <s>
    <k n="Alto" t="i"/>
    <k n="Beta" t="i"/>
    <k n="Nome" t="i"/>
    <k n="Baixo" t="i"/>
    <k n="Preço" t="i"/>
    <k n="Imagem"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s>
  <s>
    <k n="name" t="s"/>
  </s>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Funcionários" t="i"/>
    <k n="Variação (%)" t="i"/>
    <k n="Média de volume" t="i"/>
    <k n="`%EntityServiceId" t="i"/>
    <k n="52 semanas de alta" t="i"/>
    <k n="52 semanas de baixa" t="i"/>
    <k n="Ações em circulação" t="i"/>
    <k n="Fechamento anterior" t="i"/>
    <k n="Capitalização de mercado" t="i"/>
    <k n="Hora da última transação" t="i"/>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Média de volume" t="s"/>
    <k n="Símbolo do ticker" t="s"/>
    <k n="52 semanas de alta" t="s"/>
    <k n="52 semanas de baixa"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Média de volume" t="i"/>
    <k n="`%EntityServiceId" t="i"/>
    <k n="52 semanas de alta" t="i"/>
    <k n="52 semanas de baixa" t="i"/>
    <k n="Ações em circulação" t="i"/>
    <k n="Fechamento anterior" t="i"/>
    <k n="Capitalização de mercado" t="i"/>
    <k n="Hora da última transação" t="i"/>
  </s>
  <s>
    <k n="Alto"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Nome" t="i"/>
    <k n="Baixo" t="i"/>
    <k n="Preço" t="i"/>
    <k n="Volume" t="i"/>
    <k n="Variação" t="i"/>
    <k n="Pendência" t="i"/>
    <k n="Funcionários" t="i"/>
    <k n="Variação (%)" t="i"/>
    <k n="`%EntityServiceId" t="i"/>
    <k n="52 semanas de alta" t="i"/>
    <k n="52 semanas de baixa" t="i"/>
    <k n="Ano de incorporação" t="i"/>
    <k n="Ações em circulação" t="i"/>
    <k n="Fechamento anterior" t="i"/>
    <k n="Capitalização de mercado" t="i"/>
    <k n="Hora da última transação" t="i"/>
  </s>
  <s>
    <k n="Alto" t="s"/>
    <k n="Nome" t="s"/>
    <k n="Baixo" t="s"/>
    <k n="Bolsa" t="s"/>
    <k n="Moeda" t="s"/>
    <k n="Preço" t="s"/>
    <k n="Volume" t="s"/>
    <k n="Variação" t="s"/>
    <k n="Pendência" t="s"/>
    <k n="UniqueName" t="s"/>
    <k n="Variação (%)" t="s"/>
    <k n="%ProviderInfo" t="s"/>
    <k n="Símbolo do ticker" t="s"/>
    <k n="52 semanas de alta" t="s"/>
    <k n="52 semanas de baixa" t="s"/>
    <k n="Fechamento anterior" t="s"/>
    <k n="Tipo de instrumento" t="s"/>
    <k n="Abreviatura do câmbio" t="s"/>
    <k n="Capitalização de mercado" t="s"/>
    <k n="Hora da última transação" t="s"/>
  </s>
  <s>
    <k n="^Order" t="spba"/>
    <k n="TitleProperty" t="s"/>
  </s>
  <s>
    <k n="UniqueName" t="spb"/>
    <k n="`%ProviderInfo" t="spb"/>
  </s>
  <s>
    <k n="Alto" t="i"/>
    <k n="Nome" t="i"/>
    <k n="Baixo" t="i"/>
    <k n="Preço" t="i"/>
    <k n="Volume" t="i"/>
    <k n="Variação" t="i"/>
    <k n="Pendência" t="i"/>
    <k n="Variação (%)" t="i"/>
    <k n="`%EntityServiceId" t="i"/>
    <k n="52 semanas de alta" t="i"/>
    <k n="52 semanas de baixa" t="i"/>
    <k n="Fechamento anterior" t="i"/>
    <k n="Capitalização de mercado" t="i"/>
    <k n="Hora da última transação" t="i"/>
  </s>
  <s>
    <k n="Variação" t="s"/>
    <k n="Variação (%)" t="s"/>
    <k n="Hora da última transação" t="s"/>
  </s>
  <s>
    <k n="Alto" t="s"/>
    <k n="Beta" t="s"/>
    <k n="Nome" t="s"/>
    <k n="Sede" t="s"/>
    <k n="Baixo" t="s"/>
    <k n="Bolsa" t="s"/>
    <k n="Moeda" t="s"/>
    <k n="Preço" t="s"/>
    <k n="Setor" t="s"/>
    <k n="Volume" t="s"/>
    <k n="Variação" t="s"/>
    <k n="Descrição" t="s"/>
    <k n="Pendência" t="s"/>
    <k n="ExchangeID" t="s"/>
    <k n="UniqueName" t="s"/>
    <k n="Nome oficial" t="s"/>
    <k n="Variação (%)" t="s"/>
    <k n="%ProviderInfo" t="s"/>
    <k n="LearnMoreOnLink"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s>
  <s>
    <k n="Alto" t="i"/>
    <k n="Beta" t="i"/>
    <k n="Nome" t="i"/>
    <k n="Baixo" t="i"/>
    <k n="Preço" t="i"/>
    <k n="Volume" t="i"/>
    <k n="Variação" t="i"/>
    <k n="Pendência" t="i"/>
    <k n="Variação (%)" t="i"/>
    <k n="`%EntityServiceId" t="i"/>
    <k n="52 semanas de alta" t="i"/>
    <k n="52 semanas de baixa" t="i"/>
    <k n="Ano de incorporação" t="i"/>
    <k n="Ações em circulação" t="i"/>
    <k n="Fechamento anterior" t="i"/>
    <k n="Capitalização de mercado" t="i"/>
    <k n="Hora da última transação"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Pr n="IsHeroField" t="b"/>
  </richProperties>
  <richStyles>
    <rSty dxfid="1">
      <rpv i="0">_-[$R$-pt-BR] * #,##0.00_-;-[$R$-pt-BR] * #,##0.00_-;_-[$R$-pt-BR] * "-"??_-;_-@_-</rpv>
    </rSty>
    <rSty dxfid="5">
      <rpv i="0">#,##0.00</rpv>
    </rSty>
    <rSty>
      <rpv i="1">1</rpv>
    </rSty>
    <rSty dxfid="4">
      <rpv i="0">#,##0</rpv>
    </rSty>
    <rSty dxfid="3"/>
    <rSty dxfid="0">
      <rpv i="0">0.00</rpv>
    </rSty>
    <rSty dxfid="1">
      <rpv i="0">_-[$R$-pt-BR] * #,##0_-;-[$R$-pt-BR] * #,##0_-;_-[$R$-pt-BR] * "-"_-;_-@_-</rpv>
    </rSty>
    <rSty dxfid="7"/>
    <rSty dxfid="6">
      <rpv i="0">0</rpv>
    </rSty>
    <rSty dxfid="2"/>
    <rSty>
      <rpv i="2">1</rpv>
    </rSty>
    <rSty dxfid="1">
      <rpv i="0">_-[$$-en-CA]* #,##0.00_-;-[$$-en-CA]* #,##0.00_-;_-[$$-en-CA]* "-"??_-;_-@_-</rpv>
    </rSty>
    <rSty dxfid="1">
      <rpv i="0">_-[$$-en-CA]* #,##0_-;-[$$-en-CA]* #,##0_-;_-[$$-en-CA]*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DE89F9-9095-4ACA-A5B3-A07D4EA55A18}">
  <we:reference id="wa104381695" version="1.0.10.0" store="en-US" storeType="OMEX"/>
  <we:alternateReferences>
    <we:reference id="WA104381695" version="1.0.1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_xldudf_CS_TIME</we:customFunctionIds>
        <we:customFunctionIds>_xldudf_CS_ATH</we:customFunctionIds>
        <we:customFunctionIds>_xldudf_CS_ENDPOINTS</we:customFunctionIds>
        <we:customFunctionIds>_xldudf_CS_EXCHANGES</we:customFunctionIds>
        <we:customFunctionIds>_xldudf_CS_EXRATE</we:customFunctionIds>
        <we:customFunctionIds>_xldudf_CS_OHLCV</we:customFunctionIds>
        <we:customFunctionIds>_xldudf_CS_ORDERBOOKS</we:customFunctionIds>
        <we:customFunctionIds>_xldudf_CS_PARAMETERS</we:customFunctionIds>
        <we:customFunctionIds>_xldudf_CS_PRICE</we:customFunctionIds>
        <we:customFunctionIds>_xldudf_CS_PRICEA</we:customFunctionIds>
        <we:customFunctionIds>_xldudf_CS_PROVIDERS</we:customFunctionIds>
        <we:customFunctionIds>_xldudf_CS_QUERY</we:customFunctionIds>
        <we:customFunctionIds>_xldudf_CS_QUERYA</we:customFunctionIds>
        <we:customFunctionIds>_xldudf_CS_SYMBOLS</we:customFunctionIds>
        <we:customFunctionIds>_xldudf_CS_TA</we:customFunctionIds>
        <we:customFunctionIds>_xldudf_CS_TAHIS</we:customFunctionIds>
        <we:customFunctionIds>_xldudf_CS_TRADES</we:customFunctionIds>
        <we:customFunctionIds>_xldudf_CS_ORDERBOOKSL3A</we:customFunctionIds>
        <we:customFunctionIds>_xldudf_CS_OHLCVA</we:customFunctionIds>
        <we:customFunctionIds>_xldudf_CS_ADDRESS</we:customFunctionIds>
        <we:customFunctionIds>_xldudf_CS_CHAIN</we:customFunctionIds>
        <we:customFunctionIds>_xldudf_CS_CLUSTERS</we:customFunctionIds>
        <we:customFunctionIds>_xldudf_CS_IDEAS</we:customFunctionIds>
        <we:customFunctionIds>_xldudf_CS_METRICS</we:customFunctionIds>
        <we:customFunctionIds>_xldudf_CS_AD</we:customFunctionIds>
        <we:customFunctionIds>_xldudf_CS_ADOSC</we:customFunctionIds>
        <we:customFunctionIds>_xldudf_CS_ADX</we:customFunctionIds>
        <we:customFunctionIds>_xldudf_CS_APO</we:customFunctionIds>
        <we:customFunctionIds>_xldudf_CS_AROON</we:customFunctionIds>
        <we:customFunctionIds>_xldudf_CS_AROONOSC</we:customFunctionIds>
        <we:customFunctionIds>_xldudf_CS_ATR</we:customFunctionIds>
        <we:customFunctionIds>_xldudf_CS_BBANDS</we:customFunctionIds>
        <we:customFunctionIds>_xldudf_CS_BETA</we:customFunctionIds>
        <we:customFunctionIds>_xldudf_CS_CCI</we:customFunctionIds>
        <we:customFunctionIds>_xldudf_CS_CDLINNECK</we:customFunctionIds>
        <we:customFunctionIds>_xldudf_CS_CDLMARUBOZU</we:customFunctionIds>
        <we:customFunctionIds>_xldudf_CS_CORREL</we:customFunctionIds>
        <we:customFunctionIds>_xldudf_CS_DEMA</we:customFunctionIds>
        <we:customFunctionIds>_xldudf_CS_DX</we:customFunctionIds>
        <we:customFunctionIds>_xldudf_CS_EMA</we:customFunctionIds>
        <we:customFunctionIds>_xldudf_CS_LINEARREG</we:customFunctionIds>
        <we:customFunctionIds>_xldudf_CS_LINEARREGANGLE</we:customFunctionIds>
        <we:customFunctionIds>_xldudf_CS_LINEARREGINTERCEPT</we:customFunctionIds>
        <we:customFunctionIds>_xldudf_CS_LINEARREGSLOPE</we:customFunctionIds>
        <we:customFunctionIds>_xldudf_CS_MACD</we:customFunctionIds>
        <we:customFunctionIds>_xldudf_CS_MACDEXT</we:customFunctionIds>
        <we:customFunctionIds>_xldudf_CS_MACDFIX</we:customFunctionIds>
        <we:customFunctionIds>_xldudf_CS_MFI</we:customFunctionIds>
        <we:customFunctionIds>_xldudf_CS_MOM</we:customFunctionIds>
        <we:customFunctionIds>_xldudf_CS_NATR</we:customFunctionIds>
        <we:customFunctionIds>_xldudf_CS_OBV</we:customFunctionIds>
        <we:customFunctionIds>_xldudf_CS_ROC</we:customFunctionIds>
        <we:customFunctionIds>_xldudf_CS_ROCP</we:customFunctionIds>
        <we:customFunctionIds>_xldudf_CS_ROCR</we:customFunctionIds>
        <we:customFunctionIds>_xldudf_CS_RSI</we:customFunctionIds>
        <we:customFunctionIds>_xldudf_CS_SAREXT</we:customFunctionIds>
        <we:customFunctionIds>_xldudf_CS_SMA</we:customFunctionIds>
        <we:customFunctionIds>_xldudf_CS_STDDEV</we:customFunctionIds>
        <we:customFunctionIds>_xldudf_CS_STOCH</we:customFunctionIds>
        <we:customFunctionIds>_xldudf_CS_T3</we:customFunctionIds>
        <we:customFunctionIds>_xldudf_CS_TEMA</we:customFunctionIds>
        <we:customFunctionIds>_xldudf_CS_TRANGE</we:customFunctionIds>
        <we:customFunctionIds>_xldudf_CS_TRIX</we:customFunctionIds>
        <we:customFunctionIds>_xldudf_CS_TSF</we:customFunctionIds>
        <we:customFunctionIds>_xldudf_CS_ULTOSC</we:customFunctionIds>
        <we:customFunctionIds>_xldudf_CS_VARI</we:customFunctionIds>
        <we:customFunctionIds>_xldudf_CS_WCLPRICE</we:customFunctionIds>
        <we:customFunctionIds>_xldudf_CS_WILLR</we:customFunctionIds>
        <we:customFunctionIds>_xldudf_CS_WMA</we:customFunctionIds>
        <we:customFunctionIds>_xldudf_CS_STATUS</we:customFunctionIds>
        <we:customFunctionIds>_xldudf_CS_LOGIN</we:customFunctionIds>
        <we:customFunctionIds>_xldudf_CS_TAMETADATA</we:customFunctionIds>
        <we:customFunctionIds>_xldudf_CS_FLOOR</we:customFunctionIds>
        <we:customFunctionIds>_xldudf_CS_LN</we:customFunctionIds>
        <we:customFunctionIds>_xldudf_CS_EXP</we:customFunctionIds>
        <we:customFunctionIds>_xldudf_CS_FIELDS</we:customFunctionIds>
        <we:customFunctionIds>_xldudf_CS_TRADESA</we:customFunctionIds>
        <we:customFunctionIds>_xldudf_CS_ORDERBOOKSA</we:customFunctionIds>
        <we:customFunctionIds>_xldudf_CS_METRICSA</we:customFunctionIds>
        <we:customFunctionIds>_xldudf_CS_METRICSMETADATA</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EZ279"/>
  <sheetViews>
    <sheetView topLeftCell="BG1" zoomScale="120" zoomScaleNormal="120" workbookViewId="0">
      <pane xSplit="7" topLeftCell="BN1" activePane="topRight" state="frozen"/>
      <selection activeCell="BG1" sqref="BG1"/>
      <selection pane="topRight" activeCell="BO8" sqref="BO8"/>
    </sheetView>
  </sheetViews>
  <sheetFormatPr defaultColWidth="5.7109375" defaultRowHeight="15" x14ac:dyDescent="0.25"/>
  <cols>
    <col min="1" max="13" width="13.85546875" style="6" customWidth="1"/>
    <col min="14" max="14" width="13" style="6" customWidth="1"/>
    <col min="15" max="15" width="13.85546875" style="6" customWidth="1"/>
    <col min="16" max="16" width="13" style="6" customWidth="1"/>
    <col min="17" max="18" width="13.85546875" style="6" customWidth="1"/>
    <col min="19" max="19" width="13.140625" style="6" customWidth="1"/>
    <col min="20" max="47" width="13.85546875" style="6" customWidth="1"/>
    <col min="48" max="48" width="13" style="6" customWidth="1"/>
    <col min="49" max="53" width="13.85546875" style="6" customWidth="1"/>
    <col min="54" max="54" width="12.5703125" style="6" customWidth="1"/>
    <col min="55" max="55" width="10.7109375" style="6" customWidth="1"/>
    <col min="56" max="56" width="8.85546875" style="6" customWidth="1"/>
    <col min="57" max="57" width="8.7109375" style="6" customWidth="1"/>
    <col min="58" max="63" width="9.85546875" style="6" customWidth="1"/>
    <col min="64" max="64" width="9.28515625" style="6" customWidth="1"/>
    <col min="65" max="65" width="10.5703125" style="7" customWidth="1"/>
    <col min="66" max="66" width="9" style="19" customWidth="1"/>
    <col min="67" max="68" width="9" style="7" customWidth="1"/>
    <col min="69" max="69" width="3.42578125" style="22" customWidth="1"/>
    <col min="70" max="70" width="10.140625" style="16" bestFit="1" customWidth="1"/>
    <col min="71" max="71" width="1.5703125" customWidth="1"/>
    <col min="72" max="72" width="7.28515625" style="1" customWidth="1"/>
    <col min="73" max="73" width="7.7109375" style="1" customWidth="1"/>
    <col min="74" max="74" width="2.28515625" style="22" customWidth="1"/>
    <col min="75" max="75" width="7.5703125" style="22" customWidth="1"/>
    <col min="76" max="76" width="1.28515625" customWidth="1"/>
    <col min="77" max="77" width="8.140625" style="8" customWidth="1"/>
    <col min="78" max="78" width="1.85546875" style="22" customWidth="1"/>
    <col min="79" max="79" width="6.85546875" style="14" customWidth="1"/>
    <col min="80" max="80" width="9.42578125" style="14" customWidth="1"/>
    <col min="81" max="81" width="8.5703125" style="14" customWidth="1"/>
    <col min="82" max="82" width="1.85546875" style="14" customWidth="1"/>
    <col min="83" max="83" width="7.28515625" style="1" customWidth="1"/>
    <col min="84" max="84" width="7.42578125" style="1" customWidth="1"/>
    <col min="85" max="85" width="8.140625" style="1" customWidth="1"/>
    <col min="86" max="86" width="1.7109375" customWidth="1"/>
    <col min="87" max="87" width="1.42578125" style="14" customWidth="1"/>
    <col min="88" max="88" width="6.42578125" style="1" customWidth="1"/>
    <col min="89" max="89" width="7" style="1" customWidth="1"/>
    <col min="90" max="90" width="7.28515625" style="1" customWidth="1"/>
    <col min="91" max="91" width="6.85546875" style="1" customWidth="1"/>
    <col min="92" max="92" width="7.7109375" style="1" customWidth="1"/>
    <col min="93" max="94" width="6.85546875" style="1" customWidth="1"/>
    <col min="95" max="95" width="9" style="1" customWidth="1"/>
    <col min="96" max="96" width="10.42578125" style="1" customWidth="1"/>
    <col min="97" max="97" width="9.42578125" style="1" customWidth="1"/>
    <col min="98" max="111" width="8.140625" style="1" customWidth="1"/>
    <col min="112" max="112" width="2.7109375" customWidth="1"/>
    <col min="113" max="113" width="6.7109375" style="1" customWidth="1"/>
    <col min="114" max="114" width="7.28515625" style="1" customWidth="1"/>
    <col min="115" max="115" width="7.5703125" style="1" customWidth="1"/>
    <col min="116" max="116" width="8.7109375" style="1" customWidth="1"/>
    <col min="117" max="117" width="9.28515625" style="1" customWidth="1"/>
    <col min="118" max="118" width="9.140625" style="1" customWidth="1"/>
    <col min="119" max="121" width="1.5703125" style="1" customWidth="1"/>
    <col min="122" max="125" width="9.140625" style="81" customWidth="1"/>
    <col min="126" max="126" width="7.85546875" style="82" customWidth="1"/>
    <col min="127" max="127" width="7.5703125" style="73" customWidth="1"/>
    <col min="128" max="128" width="1.5703125" style="1" customWidth="1"/>
    <col min="129" max="129" width="6" style="1" customWidth="1"/>
    <col min="130" max="130" width="1.28515625" style="1" customWidth="1"/>
    <col min="131" max="131" width="1.7109375" style="1" customWidth="1"/>
    <col min="132" max="134" width="2.28515625" style="1" customWidth="1"/>
    <col min="135" max="135" width="12" style="1" customWidth="1"/>
    <col min="136" max="136" width="6.5703125" style="1" customWidth="1"/>
    <col min="137" max="137" width="16.85546875" style="1" customWidth="1"/>
    <col min="138" max="138" width="15.85546875" style="1" customWidth="1"/>
    <col min="139" max="139" width="15.28515625" style="1" customWidth="1"/>
    <col min="140" max="140" width="1.85546875" style="1" customWidth="1"/>
    <col min="141" max="141" width="6.140625" style="1" customWidth="1"/>
    <col min="142" max="142" width="9.28515625" style="1" customWidth="1"/>
    <col min="143" max="143" width="9.140625" style="1" customWidth="1"/>
    <col min="144" max="144" width="10.5703125" customWidth="1"/>
    <col min="145" max="145" width="8.28515625" style="1" customWidth="1"/>
    <col min="146" max="146" width="15.85546875" style="1" customWidth="1"/>
    <col min="147" max="147" width="1.42578125" style="1" customWidth="1"/>
    <col min="148" max="149" width="12.28515625" style="1" customWidth="1"/>
    <col min="150" max="150" width="13.85546875" style="1" customWidth="1"/>
    <col min="151" max="151" width="9" style="1" customWidth="1"/>
    <col min="152" max="152" width="10.28515625" style="1" customWidth="1"/>
    <col min="153" max="153" width="2" customWidth="1"/>
    <col min="154" max="154" width="11.7109375" style="1" customWidth="1"/>
    <col min="155" max="155" width="10.85546875" style="1" customWidth="1"/>
    <col min="156" max="156" width="3.7109375" customWidth="1"/>
    <col min="157" max="157" width="32.7109375" style="1" customWidth="1"/>
    <col min="158" max="158" width="4.28515625" style="1" customWidth="1"/>
    <col min="159" max="16384" width="5.7109375" style="1"/>
  </cols>
  <sheetData>
    <row r="1" spans="1:155" x14ac:dyDescent="0.25">
      <c r="BF1" s="6">
        <v>19.350000000000001</v>
      </c>
      <c r="BG1" s="6">
        <v>19.399999999999999</v>
      </c>
      <c r="BH1" s="6">
        <v>19.41</v>
      </c>
      <c r="BI1" s="6">
        <v>18.77</v>
      </c>
      <c r="BJ1" s="6">
        <v>18.91</v>
      </c>
      <c r="BK1" s="6">
        <v>19.489999999999998</v>
      </c>
      <c r="BL1" s="87" cm="1">
        <f t="array" aca="1" ref="BL1" ca="1">_FV(BM1,"Preço")</f>
        <v>19.489999999999998</v>
      </c>
      <c r="BM1" s="1" t="e" vm="1">
        <v>#VALUE!</v>
      </c>
    </row>
    <row r="2" spans="1:155" x14ac:dyDescent="0.25">
      <c r="BG2" s="86">
        <f>(BG1/$BF1)-1</f>
        <v>2.5839793281652312E-3</v>
      </c>
      <c r="BH2" s="86">
        <f t="shared" ref="BH2:BL2" si="0">(BH1/$BF1)-1</f>
        <v>3.1007751937983663E-3</v>
      </c>
      <c r="BI2" s="86">
        <f t="shared" si="0"/>
        <v>-2.9974160206718392E-2</v>
      </c>
      <c r="BJ2" s="86">
        <v>-2.2739018087855389E-2</v>
      </c>
      <c r="BK2" s="86">
        <v>7.2351421188630027E-3</v>
      </c>
      <c r="BL2" s="86">
        <f t="shared" ca="1" si="0"/>
        <v>7.2351421188630027E-3</v>
      </c>
      <c r="BM2" s="8">
        <f ca="1">AVERAGE(BG2:BL2)</f>
        <v>-5.4263565891473631E-3</v>
      </c>
      <c r="BR2" s="88" cm="1">
        <f t="array" aca="1" ref="BR2" ca="1">_FV(BM1,"Variação (%)",TRUE)</f>
        <v>1.2994E-2</v>
      </c>
    </row>
    <row r="3" spans="1:155" x14ac:dyDescent="0.25">
      <c r="BE3" s="76">
        <v>137026</v>
      </c>
      <c r="BF3" s="76">
        <v>136102</v>
      </c>
      <c r="BG3" s="76">
        <v>137212</v>
      </c>
      <c r="BH3" s="76">
        <v>137115.82999999999</v>
      </c>
      <c r="BI3" s="76">
        <v>136865.79</v>
      </c>
      <c r="BJ3" s="76">
        <v>141263.56</v>
      </c>
      <c r="BK3" s="76">
        <v>136187.31</v>
      </c>
      <c r="BL3" s="76" cm="1">
        <f t="array" aca="1" ref="BL3" ca="1">_FV(BM3,"Preço")</f>
        <v>136187.31</v>
      </c>
      <c r="BM3" s="1" t="e" vm="2">
        <v>#VALUE!</v>
      </c>
      <c r="BQ3" s="1"/>
      <c r="CE3" s="8"/>
      <c r="DV3" s="83"/>
    </row>
    <row r="4" spans="1:155" x14ac:dyDescent="0.25">
      <c r="BG4" s="86">
        <f>(BG3/$BF3)-1</f>
        <v>8.1556479699049778E-3</v>
      </c>
      <c r="BH4" s="86">
        <f>(BH3/$BF3)-1</f>
        <v>7.4490455687645785E-3</v>
      </c>
      <c r="BI4" s="86">
        <f>(BI3/$BF3)-1</f>
        <v>5.6118940206610901E-3</v>
      </c>
      <c r="BJ4" s="86">
        <v>3.7924203905894016E-2</v>
      </c>
      <c r="BK4" s="86">
        <v>6.268093047860912E-4</v>
      </c>
      <c r="BL4" s="86">
        <f ca="1">(BL3/$BF3)-1</f>
        <v>6.268093047860912E-4</v>
      </c>
      <c r="BM4" s="8">
        <f ca="1">AVERAGE(BG4:BL4)</f>
        <v>1.006573501246614E-2</v>
      </c>
      <c r="BR4" s="88" cm="1">
        <f t="array" aca="1" ref="BR4" ca="1">_FV(BM3,"Variação (%)",TRUE)</f>
        <v>-4.0660000000000002E-3</v>
      </c>
    </row>
    <row r="5" spans="1:155" s="3" customFormat="1" ht="11.25" x14ac:dyDescent="0.2">
      <c r="A5" s="11">
        <v>45415</v>
      </c>
      <c r="B5" s="11">
        <v>45422</v>
      </c>
      <c r="C5" s="11">
        <v>45429</v>
      </c>
      <c r="D5" s="11">
        <v>45436</v>
      </c>
      <c r="E5" s="11">
        <v>45443</v>
      </c>
      <c r="F5" s="11">
        <v>45450</v>
      </c>
      <c r="G5" s="11">
        <v>45457</v>
      </c>
      <c r="H5" s="11">
        <v>45464</v>
      </c>
      <c r="I5" s="11">
        <v>45471</v>
      </c>
      <c r="J5" s="11">
        <v>45478</v>
      </c>
      <c r="K5" s="11">
        <v>45485</v>
      </c>
      <c r="L5" s="11">
        <v>45492</v>
      </c>
      <c r="M5" s="11">
        <v>45499</v>
      </c>
      <c r="N5" s="11" t="s">
        <v>0</v>
      </c>
      <c r="O5" s="11">
        <v>45513</v>
      </c>
      <c r="P5" s="11" t="s">
        <v>1</v>
      </c>
      <c r="Q5" s="11">
        <v>45528</v>
      </c>
      <c r="R5" s="11">
        <v>45534</v>
      </c>
      <c r="S5" s="11" t="s">
        <v>2</v>
      </c>
      <c r="T5" s="11">
        <v>45548</v>
      </c>
      <c r="U5" s="11">
        <v>45555</v>
      </c>
      <c r="V5" s="11">
        <v>45562</v>
      </c>
      <c r="W5" s="11">
        <v>45569</v>
      </c>
      <c r="X5" s="11">
        <v>45576</v>
      </c>
      <c r="Y5" s="11">
        <v>45583</v>
      </c>
      <c r="Z5" s="11">
        <v>45590</v>
      </c>
      <c r="AA5" s="11">
        <v>45597</v>
      </c>
      <c r="AB5" s="11">
        <v>45604</v>
      </c>
      <c r="AC5" s="11">
        <v>45611</v>
      </c>
      <c r="AD5" s="11">
        <v>45618</v>
      </c>
      <c r="AE5" s="11">
        <v>45625</v>
      </c>
      <c r="AF5" s="11">
        <v>45632</v>
      </c>
      <c r="AG5" s="11">
        <v>45639</v>
      </c>
      <c r="AH5" s="11">
        <v>45649</v>
      </c>
      <c r="AI5" s="11">
        <v>45653</v>
      </c>
      <c r="AJ5" s="11">
        <v>45660</v>
      </c>
      <c r="AK5" s="11">
        <v>45667</v>
      </c>
      <c r="AL5" s="11">
        <v>45674</v>
      </c>
      <c r="AM5" s="11">
        <v>45681</v>
      </c>
      <c r="AN5" s="11">
        <v>45688</v>
      </c>
      <c r="AO5" s="11">
        <v>45695</v>
      </c>
      <c r="AP5" s="11">
        <v>45702</v>
      </c>
      <c r="AQ5" s="11">
        <v>45709</v>
      </c>
      <c r="AR5" s="11">
        <v>45716</v>
      </c>
      <c r="AS5" s="11">
        <v>45723</v>
      </c>
      <c r="AT5" s="11">
        <v>45730</v>
      </c>
      <c r="AU5" s="11">
        <v>45737</v>
      </c>
      <c r="AV5" s="11">
        <v>45744</v>
      </c>
      <c r="AW5" s="11">
        <v>45751</v>
      </c>
      <c r="AX5" s="11">
        <v>45758</v>
      </c>
      <c r="AY5" s="11">
        <v>45765</v>
      </c>
      <c r="AZ5" s="11">
        <v>45772</v>
      </c>
      <c r="BA5" s="11">
        <v>45778</v>
      </c>
      <c r="BB5" s="50">
        <v>45785</v>
      </c>
      <c r="BC5" s="50">
        <v>45792</v>
      </c>
      <c r="BD5" s="50">
        <v>45800</v>
      </c>
      <c r="BE5" s="50">
        <v>45807</v>
      </c>
      <c r="BF5" s="50">
        <v>45814</v>
      </c>
      <c r="BG5" s="68">
        <v>45821</v>
      </c>
      <c r="BH5" s="50">
        <v>45828</v>
      </c>
      <c r="BI5" s="50">
        <v>45835</v>
      </c>
      <c r="BJ5" s="50">
        <v>45842</v>
      </c>
      <c r="BK5" s="50">
        <v>45849</v>
      </c>
      <c r="BL5" s="50" t="s">
        <v>272</v>
      </c>
      <c r="BM5" s="38" t="s">
        <v>477</v>
      </c>
      <c r="BN5" s="51" t="s">
        <v>495</v>
      </c>
      <c r="BO5" s="50" t="s">
        <v>284</v>
      </c>
      <c r="BP5" s="38" t="s">
        <v>284</v>
      </c>
      <c r="BQ5" s="3" t="s">
        <v>285</v>
      </c>
      <c r="BR5" s="28" t="s">
        <v>478</v>
      </c>
      <c r="BT5" s="38" t="s">
        <v>479</v>
      </c>
      <c r="BU5" s="38" t="s">
        <v>480</v>
      </c>
      <c r="BW5" s="64" t="s">
        <v>481</v>
      </c>
      <c r="BY5" s="50" t="s">
        <v>503</v>
      </c>
      <c r="CA5" s="61" t="s">
        <v>483</v>
      </c>
      <c r="CB5" s="61" t="s">
        <v>485</v>
      </c>
      <c r="CC5" s="61" t="s">
        <v>484</v>
      </c>
      <c r="CD5" s="14"/>
      <c r="CE5" s="38" t="s">
        <v>496</v>
      </c>
      <c r="CF5" s="38" t="s">
        <v>506</v>
      </c>
      <c r="CG5" s="38" t="s">
        <v>497</v>
      </c>
      <c r="CI5" s="14"/>
      <c r="CJ5" s="38" t="s">
        <v>486</v>
      </c>
      <c r="CK5" s="38" t="s">
        <v>487</v>
      </c>
      <c r="CL5" s="38" t="s">
        <v>488</v>
      </c>
      <c r="CM5" s="38" t="s">
        <v>489</v>
      </c>
      <c r="CN5" s="38" t="s">
        <v>490</v>
      </c>
      <c r="CO5" s="38" t="s">
        <v>491</v>
      </c>
      <c r="CP5" s="38" t="s">
        <v>492</v>
      </c>
      <c r="CQ5" s="3" t="s">
        <v>493</v>
      </c>
      <c r="CR5" s="3" t="s">
        <v>494</v>
      </c>
      <c r="CS5" s="8" t="s">
        <v>268</v>
      </c>
      <c r="CT5" s="38" t="s">
        <v>275</v>
      </c>
      <c r="CU5" s="28" t="s">
        <v>269</v>
      </c>
      <c r="CV5" s="28" t="s">
        <v>271</v>
      </c>
      <c r="CW5" s="28" t="s">
        <v>270</v>
      </c>
      <c r="CX5" s="28" t="s">
        <v>279</v>
      </c>
      <c r="CY5" s="28" t="s">
        <v>280</v>
      </c>
      <c r="CZ5" s="28" t="s">
        <v>281</v>
      </c>
      <c r="DA5" s="28" t="s">
        <v>283</v>
      </c>
      <c r="DB5" s="28" t="s">
        <v>280</v>
      </c>
      <c r="DC5" s="28" t="s">
        <v>282</v>
      </c>
      <c r="DD5" s="28" t="s">
        <v>270</v>
      </c>
      <c r="DE5" s="28" t="s">
        <v>271</v>
      </c>
      <c r="DF5" s="28" t="s">
        <v>269</v>
      </c>
      <c r="DG5" s="38" t="s">
        <v>275</v>
      </c>
      <c r="DI5" s="38" t="s">
        <v>273</v>
      </c>
      <c r="DJ5" s="38" t="s">
        <v>278</v>
      </c>
      <c r="DK5" s="3" t="s">
        <v>274</v>
      </c>
      <c r="DL5" s="38" t="s">
        <v>276</v>
      </c>
      <c r="DM5" s="38" t="s">
        <v>493</v>
      </c>
      <c r="DN5" s="38" t="s">
        <v>494</v>
      </c>
      <c r="DR5" s="85" t="s">
        <v>504</v>
      </c>
      <c r="DS5" s="85" t="s">
        <v>504</v>
      </c>
      <c r="DT5" s="85" t="s">
        <v>504</v>
      </c>
      <c r="DU5" s="85" t="s">
        <v>504</v>
      </c>
      <c r="DV5" s="85" t="s">
        <v>504</v>
      </c>
      <c r="DW5" s="74" t="s">
        <v>498</v>
      </c>
      <c r="DY5" s="17" t="s">
        <v>277</v>
      </c>
      <c r="EE5" s="3" t="s">
        <v>466</v>
      </c>
      <c r="EF5" s="3" t="s">
        <v>289</v>
      </c>
      <c r="EG5" s="3" t="s">
        <v>465</v>
      </c>
      <c r="EH5" s="38" t="s">
        <v>467</v>
      </c>
      <c r="EI5" s="38" t="s">
        <v>467</v>
      </c>
      <c r="EL5" s="38" t="s">
        <v>474</v>
      </c>
      <c r="EM5" s="38" t="s">
        <v>475</v>
      </c>
      <c r="EN5" s="38" t="s">
        <v>476</v>
      </c>
      <c r="EO5" s="38" t="s">
        <v>289</v>
      </c>
      <c r="EP5" s="38" t="s">
        <v>469</v>
      </c>
      <c r="ER5" s="38" t="s">
        <v>301</v>
      </c>
      <c r="ES5" s="38" t="s">
        <v>472</v>
      </c>
      <c r="ET5" s="38" t="s">
        <v>471</v>
      </c>
      <c r="EU5" s="38" t="s">
        <v>482</v>
      </c>
      <c r="EV5" s="38" t="s">
        <v>470</v>
      </c>
      <c r="EX5" s="38" t="s">
        <v>473</v>
      </c>
      <c r="EY5" s="38" t="s">
        <v>468</v>
      </c>
    </row>
    <row r="6" spans="1:155" s="2" customFormat="1" ht="11.25" x14ac:dyDescent="0.2">
      <c r="A6" s="4">
        <v>9</v>
      </c>
      <c r="B6" s="4">
        <v>9</v>
      </c>
      <c r="C6" s="4">
        <v>9</v>
      </c>
      <c r="D6" s="4">
        <v>9</v>
      </c>
      <c r="E6" s="4">
        <v>9</v>
      </c>
      <c r="F6" s="4">
        <v>9</v>
      </c>
      <c r="G6" s="4">
        <v>9</v>
      </c>
      <c r="H6" s="4">
        <v>9</v>
      </c>
      <c r="I6" s="4">
        <v>9</v>
      </c>
      <c r="J6" s="4">
        <v>8.24</v>
      </c>
      <c r="K6" s="4">
        <v>8.24</v>
      </c>
      <c r="L6" s="4">
        <v>8.24</v>
      </c>
      <c r="M6" s="4">
        <v>8.24</v>
      </c>
      <c r="N6" s="4">
        <v>8.24</v>
      </c>
      <c r="O6" s="4">
        <v>8.24</v>
      </c>
      <c r="P6" s="4">
        <v>8.24</v>
      </c>
      <c r="Q6" s="4">
        <v>8.24</v>
      </c>
      <c r="R6" s="4">
        <v>8.24</v>
      </c>
      <c r="S6" s="4">
        <v>8.24</v>
      </c>
      <c r="T6" s="4">
        <v>8.24</v>
      </c>
      <c r="U6" s="4">
        <v>8.24</v>
      </c>
      <c r="V6" s="4">
        <v>8.24</v>
      </c>
      <c r="W6" s="4">
        <v>8.24</v>
      </c>
      <c r="X6" s="4">
        <v>8.24</v>
      </c>
      <c r="Y6" s="4">
        <v>8.24</v>
      </c>
      <c r="Z6" s="4">
        <v>8.24</v>
      </c>
      <c r="AA6" s="4">
        <v>8.24</v>
      </c>
      <c r="AB6" s="4">
        <v>8.24</v>
      </c>
      <c r="AC6" s="4">
        <v>8.24</v>
      </c>
      <c r="AD6" s="4">
        <v>8.24</v>
      </c>
      <c r="AE6" s="4">
        <v>8.24</v>
      </c>
      <c r="AF6" s="4">
        <v>8.24</v>
      </c>
      <c r="AG6" s="4">
        <v>8.24</v>
      </c>
      <c r="AH6" s="4">
        <v>8.24</v>
      </c>
      <c r="AI6" s="4">
        <v>8.24</v>
      </c>
      <c r="AJ6" s="4">
        <v>8.24</v>
      </c>
      <c r="AK6" s="4">
        <v>8.24</v>
      </c>
      <c r="AL6" s="4">
        <v>8.24</v>
      </c>
      <c r="AM6" s="4">
        <v>8.24</v>
      </c>
      <c r="AN6" s="4">
        <v>8.24</v>
      </c>
      <c r="AO6" s="4">
        <v>8.24</v>
      </c>
      <c r="AP6" s="4">
        <v>8.24</v>
      </c>
      <c r="AQ6" s="4">
        <v>8.24</v>
      </c>
      <c r="AR6" s="4">
        <v>8.24</v>
      </c>
      <c r="AS6" s="4">
        <v>8.24</v>
      </c>
      <c r="AT6" s="4">
        <v>8.24</v>
      </c>
      <c r="AU6" s="4">
        <v>8.24</v>
      </c>
      <c r="AV6" s="4">
        <v>8.24</v>
      </c>
      <c r="AW6" s="4">
        <v>8.24</v>
      </c>
      <c r="AX6" s="4">
        <v>8.25</v>
      </c>
      <c r="AY6" s="12">
        <v>8.25</v>
      </c>
      <c r="AZ6" s="12">
        <v>8.25</v>
      </c>
      <c r="BA6" s="12">
        <v>8.25</v>
      </c>
      <c r="BB6" s="15">
        <v>8.25</v>
      </c>
      <c r="BC6" s="52">
        <v>8.25</v>
      </c>
      <c r="BD6" s="52">
        <v>8.25</v>
      </c>
      <c r="BE6" s="52">
        <v>8.25</v>
      </c>
      <c r="BF6" s="52">
        <v>8.25</v>
      </c>
      <c r="BG6" s="67">
        <v>8.0500000000000007</v>
      </c>
      <c r="BH6" s="52">
        <v>8.0500000000000007</v>
      </c>
      <c r="BI6" s="52">
        <v>8.0500000000000007</v>
      </c>
      <c r="BJ6" s="52">
        <v>8.0500000000000007</v>
      </c>
      <c r="BK6" s="52">
        <v>8.0500000000000007</v>
      </c>
      <c r="BL6" s="52" cm="1">
        <f t="array" aca="1" ref="BL6" ca="1">_FV(EC6,"Preço")</f>
        <v>8.0500000000000007</v>
      </c>
      <c r="BM6" s="69" t="s">
        <v>3</v>
      </c>
      <c r="BN6" s="36" t="e" cm="1" vm="3">
        <f t="array" ref="BN6">_FV(EC6,"Média de volume",TRUE)</f>
        <v>#VALUE!</v>
      </c>
      <c r="BO6" s="36">
        <v>500</v>
      </c>
      <c r="BP6" s="36" cm="1">
        <f t="array" aca="1" ref="BP6" ca="1">_FV(EC6,"Volume")</f>
        <v>500</v>
      </c>
      <c r="BQ6" s="24" cm="1">
        <f t="array" aca="1" ref="BQ6" ca="1">_FV(EC6,"Beta")</f>
        <v>0.65490000000000004</v>
      </c>
      <c r="BR6" s="71" cm="1">
        <f t="array" aca="1" ref="BR6" ca="1">_FV(EC6,"Variação (%)",TRUE)</f>
        <v>6.0606E-2</v>
      </c>
      <c r="BT6" s="17" cm="1">
        <f t="array" aca="1" ref="BT6" ca="1">_FV(EC6,"Baixo")</f>
        <v>8.0500000000000007</v>
      </c>
      <c r="BU6" s="17" cm="1">
        <f t="array" aca="1" ref="BU6" ca="1">_FV(EC6,"Alto")</f>
        <v>8.0500000000000007</v>
      </c>
      <c r="BV6" s="24"/>
      <c r="BW6" s="63">
        <f ca="1">SQRT(22.5*(BL6/VLOOKUP(BM6,Fundamentus!A:U,3,FALSE))*(BL6/VLOOKUP(BM6,Fundamentus!A:U,4,FALSE)))</f>
        <v>6.9413749095532742</v>
      </c>
      <c r="BY6" s="62">
        <f ca="1">(BL6 - BK6) / BK6</f>
        <v>0</v>
      </c>
      <c r="BZ6" s="8"/>
      <c r="CA6" s="61">
        <f>MIN(A6:BK6)</f>
        <v>8.0500000000000007</v>
      </c>
      <c r="CB6" s="61">
        <f>MAX(A6:BK6)</f>
        <v>9</v>
      </c>
      <c r="CC6" s="61">
        <f>AVERAGE(A6:BK6)</f>
        <v>8.3349206349206391</v>
      </c>
      <c r="CD6" s="14"/>
      <c r="CE6" s="35">
        <f t="shared" ref="CE6:CE69" si="1">CF6-DY6*2</f>
        <v>7.9009288015000152</v>
      </c>
      <c r="CF6" s="15">
        <f>FORECAST("04/07/2025", BH6:BK6, $BH$5:$BK$5)</f>
        <v>8.0500000000000007</v>
      </c>
      <c r="CG6" s="35">
        <f t="shared" ref="CG6:CG69" si="2">CF6+DY6*2</f>
        <v>8.1990711984999862</v>
      </c>
      <c r="CI6" s="14"/>
      <c r="CJ6" s="17">
        <f t="shared" ref="CJ6:CJ69" si="3">CA6-2*(CB6-CM6)</f>
        <v>6.783333333333335</v>
      </c>
      <c r="CK6" s="17">
        <f t="shared" ref="CK6:CK69" si="4">CM6-(CB6-CA6)</f>
        <v>7.4166666666666679</v>
      </c>
      <c r="CL6" s="17">
        <f t="shared" ref="CL6:CL69" si="5">2*CM6-CB6</f>
        <v>7.7333333333333343</v>
      </c>
      <c r="CM6" s="38">
        <f>(CB6+CA6+BJ6)/3</f>
        <v>8.3666666666666671</v>
      </c>
      <c r="CN6" s="17">
        <f t="shared" ref="CN6:CN69" si="6">2*CM6-CA6</f>
        <v>8.6833333333333336</v>
      </c>
      <c r="CO6" s="17">
        <f t="shared" ref="CO6:CO69" si="7">CM6+(CB6-CA6)</f>
        <v>9.3166666666666664</v>
      </c>
      <c r="CP6" s="17">
        <f t="shared" ref="CP6:CP69" si="8">CB6+2*(CM6-CA6)</f>
        <v>9.6333333333333329</v>
      </c>
      <c r="CQ6" s="2" cm="1">
        <f t="array" aca="1" ref="CQ6" ca="1">MAX(_xlfn._xlws.FILTER(CJ6:CP6,CJ6:CP6&lt;BL6))</f>
        <v>7.7333333333333343</v>
      </c>
      <c r="CR6" s="2" cm="1">
        <f t="array" aca="1" ref="CR6" ca="1">MIN(_xlfn._xlws.FILTER($CJ6:$CP6,$CJ6:$CP6&gt;BL6))</f>
        <v>8.3666666666666671</v>
      </c>
      <c r="CS6" s="16">
        <f ca="1">(CR6/CQ6)-1</f>
        <v>8.18965517241379E-2</v>
      </c>
      <c r="CT6" s="20">
        <f ca="1">-$CS6/2</f>
        <v>-4.094827586206895E-2</v>
      </c>
      <c r="CU6" s="20">
        <f ca="1">-$CS6/3</f>
        <v>-2.7298850574712635E-2</v>
      </c>
      <c r="CV6" s="20">
        <f ca="1">-$CS6/5</f>
        <v>-1.6379310344827581E-2</v>
      </c>
      <c r="CW6" s="20">
        <f ca="1">-$CS6/9</f>
        <v>-9.0996168582375449E-3</v>
      </c>
      <c r="CX6" s="20">
        <f t="shared" ref="CX6:CX7" ca="1" si="9">-$CS6/17</f>
        <v>-4.8174442190669353E-3</v>
      </c>
      <c r="CY6" s="20">
        <f t="shared" ref="CY6:CY7" ca="1" si="10">-$CS6/33</f>
        <v>-2.4817136886102396E-3</v>
      </c>
      <c r="CZ6" s="20">
        <f t="shared" ref="CZ6:CZ7" ca="1" si="11">-$CS6/65</f>
        <v>-1.2599469496021216E-3</v>
      </c>
      <c r="DA6" s="21">
        <f t="shared" ref="DA6:DA7" ca="1" si="12">-$CS6/65*-1</f>
        <v>1.2599469496021216E-3</v>
      </c>
      <c r="DB6" s="21">
        <f t="shared" ref="DB6:DB7" ca="1" si="13">-$CS6/33*-1</f>
        <v>2.4817136886102396E-3</v>
      </c>
      <c r="DC6" s="21">
        <f t="shared" ref="DC6:DC7" ca="1" si="14">-$CS6/17*-1</f>
        <v>4.8174442190669353E-3</v>
      </c>
      <c r="DD6" s="21">
        <f ca="1">-$CS6/9*-1</f>
        <v>9.0996168582375449E-3</v>
      </c>
      <c r="DE6" s="21">
        <f ca="1">-$CS6/5*-1</f>
        <v>1.6379310344827581E-2</v>
      </c>
      <c r="DF6" s="21">
        <f ca="1">-$CS6/3*-1</f>
        <v>2.7298850574712635E-2</v>
      </c>
      <c r="DG6" s="21">
        <f ca="1">-$CS6/2*-1</f>
        <v>4.094827586206895E-2</v>
      </c>
      <c r="DI6" s="16" cm="1">
        <f t="array" aca="1" ref="DI6" ca="1">MAX(_xlfn._xlws.FILTER(CT6:DG6,CT6:DG6&lt;BR6))</f>
        <v>4.094827586206895E-2</v>
      </c>
      <c r="DJ6" s="16" t="e" cm="1" vm="4">
        <f t="array" aca="1" ref="DJ6" ca="1">MIN(_xlfn._xlws.FILTER(CT6:DG6,CT6:DG6&gt;BR6))</f>
        <v>#VALUE!</v>
      </c>
      <c r="DK6" s="2" cm="1">
        <f t="array" aca="1" ref="DK6" ca="1">_FV(EC6,"Fechamento anterior",TRUE)</f>
        <v>7.59</v>
      </c>
      <c r="DL6" s="28" t="e" vm="5">
        <f t="shared" ref="DL6:DL69" ca="1" si="15">(BL6-DM6)/(DN6-DM6)</f>
        <v>#VALUE!</v>
      </c>
      <c r="DM6" s="15">
        <f t="shared" ref="DM6:DM13" ca="1" si="16">DK6+(DK6*DI6)</f>
        <v>7.9007974137931036</v>
      </c>
      <c r="DN6" s="15" t="e" vm="5">
        <f t="shared" ref="DN6:DN13" ca="1" si="17">DK6+(DK6*DJ6)</f>
        <v>#VALUE!</v>
      </c>
      <c r="DO6" s="9"/>
      <c r="DP6" s="9"/>
      <c r="DQ6" s="9"/>
      <c r="DR6" s="89">
        <v>9.4641029532515632E-4</v>
      </c>
      <c r="DS6" s="89" t="e" vm="5">
        <v>#VALUE!</v>
      </c>
      <c r="DT6" s="89" t="e" vm="5">
        <v>#VALUE!</v>
      </c>
      <c r="DU6" s="89" t="e" vm="5">
        <v>#VALUE!</v>
      </c>
      <c r="DV6" s="89" t="e" vm="5">
        <f t="shared" ref="DV6:DV69" ca="1" si="18">DJ6-DI6</f>
        <v>#VALUE!</v>
      </c>
      <c r="DW6" s="72">
        <f t="shared" ref="DW6:DW69" ca="1" si="19">(BL6-CF6)/(CF6-CE6)</f>
        <v>0</v>
      </c>
      <c r="DX6" s="37"/>
      <c r="DY6" s="35">
        <f>_xlfn.STDEV.P(BF6:BK6)</f>
        <v>7.4535599249992729E-2</v>
      </c>
      <c r="DZ6" s="56"/>
      <c r="EA6" s="56"/>
      <c r="EC6" s="2" t="e" vm="6">
        <v>#VALUE!</v>
      </c>
      <c r="EE6" s="10" cm="1">
        <f t="array" aca="1" ref="EE6" ca="1">_FV(EC6,"Ações em circulação",TRUE)</f>
        <v>4453440</v>
      </c>
      <c r="EF6" s="18">
        <f>VLOOKUP(BM6,Fundamentus!A:U,5,FALSE)</f>
        <v>1.593</v>
      </c>
      <c r="EG6" s="2">
        <f t="shared" ref="EG6:EG69" ca="1" si="20">(BL6*EE6)/EF6</f>
        <v>22504828.625235405</v>
      </c>
      <c r="EH6" s="17">
        <v>3909088.7322033895</v>
      </c>
      <c r="EI6" s="17">
        <f t="shared" ref="EI6:EI69" ca="1" si="21">EG6*EU6</f>
        <v>3909088.7322033895</v>
      </c>
      <c r="EK6" s="16">
        <f t="shared" ref="EK6:EK65" ca="1" si="22">(EI6/EH6)-1</f>
        <v>0</v>
      </c>
      <c r="EL6" s="45" t="str">
        <f>IF(VLOOKUP(BM6,Fundamentus!A:U,3,FALSE)&lt;15,"Bom",IF(VLOOKUP(BM6,Fundamentus!A:U,3,FALSE)&gt;15,"Ruim","n/a"))</f>
        <v>Bom</v>
      </c>
      <c r="EM6" s="46" t="str">
        <f>IF(VLOOKUP(BM6,Fundamentus!A:U,4,FALSE)&lt;1,"Baixo",IF(VLOOKUP(BM6,Fundamentus!A:U,4,FALSE)&lt;1.5,"Moderado",IF(VLOOKUP(BM6,Fundamentus!A:U,4,FALSE)&gt;1.5,"Alto","n/a")))</f>
        <v>Alto</v>
      </c>
      <c r="EN6" s="30" t="str">
        <f>IF(VLOOKUP(BM6,Fundamentus!A:U,8,FALSE)&lt;0,"Risco elevado",IF(VLOOKUP(BM6,Fundamentus!A:U,8,FALSE)&lt;1,"Saudável",IF(VLOOKUP(BM6,Fundamentus!A:U,8,FALSE)&lt;3,"Estável",IF(VLOOKUP(BM6,Fundamentus!A:U,8,FALSE)&gt;3,"Alerta","n/a"))))</f>
        <v>Alerta</v>
      </c>
      <c r="EO6" s="46" t="str">
        <f t="shared" ref="EO6:EO69" si="23">IF(EF6&gt;1,"Bom","Ruim")</f>
        <v>Bom</v>
      </c>
      <c r="EP6" s="30" t="str">
        <f>IF(VLOOKUP(BM6,Fundamentus!A:U,12,FALSE)&lt;2,"Subvalorizada",IF(VLOOKUP(BM6,Fundamentus!A:U,12,FALSE)&lt;6,"Muita barata",IF(VLOOKUP(BM6,Fundamentus!A:U,12,FALSE)&lt;6,"Barata",IF(VLOOKUP(BM6,Fundamentus!A:U,12,FALSE)&lt;8,"Atrativa",IF(VLOOKUP(BM6,Fundamentus!A:U,12,FALSE)&gt;8,"Supervalorizada","n/a")))))</f>
        <v>Atrativa</v>
      </c>
      <c r="ER6" s="30" t="str">
        <f>IF(VLOOKUP(BM6,Fundamentus!A:U,17,FALSE)&lt;0.1,"Fraco retorno",IF(VLOOKUP(BM6,Fundamentus!A:U,17,FALSE)&gt;0.1,"Bom retorno","n/a"))</f>
        <v>Bom retorno</v>
      </c>
      <c r="ES6" s="30" t="str">
        <f>IF(VLOOKUP(BM6,Fundamentus!A:U,16,FALSE)&lt;0.1,"Ineficiente",IF(VLOOKUP(BM6,Fundamentus!A:U,16,FALSE)&gt;0.1,"Eficiente","n/a"))</f>
        <v>Eficiente</v>
      </c>
      <c r="ET6" s="47" t="str">
        <f>IF(VLOOKUP(BM6,Fundamentus!A:U,16,FALSE)&lt;0.1,"Oper.Ineficiente",IF(VLOOKUP(BM6,Fundamentus!A:U,16,FALSE)&gt;0.1,"Oper.Eficiente","n/a"))</f>
        <v>Oper.Eficiente</v>
      </c>
      <c r="EU6" s="48">
        <f>VLOOKUP(BM6,Fundamentus!A:U,14,FALSE)</f>
        <v>0.17369999999999999</v>
      </c>
      <c r="EV6" s="30" t="str">
        <f>IF(VLOOKUP(BM6,Fundamentus!A:U,21,FALSE)&lt;0,"Negativo",IF(VLOOKUP(BM6,Fundamentus!A:U,21,FALSE)&lt;0.05,"Fraco",IF(VLOOKUP(BM6,Fundamentus!A:U,21,FALSE)&lt;0.1,"Bom",IF(VLOOKUP(BM6,Fundamentus!A:U,21,FALSE)&gt;0.1,"Muito bom","n/a"))))</f>
        <v>Muito bom</v>
      </c>
      <c r="EX6" s="31" t="str">
        <f>IF(VLOOKUP(BM6,Fundamentus!A:U,15,FALSE)&gt;1,"Bom",IF(VLOOKUP(BM6,Fundamentus!A:U,15,FALSE)&lt;1,"Ruim","n/a"))</f>
        <v>Bom</v>
      </c>
      <c r="EY6" s="30" t="str">
        <f>IF(VLOOKUP(BM6,Fundamentus!A:U,20,FALSE)&lt;0.5,"Baixa",IF(VLOOKUP(BM6,Fundamentus!A:U,20,FALSE)&lt;1,"Moderada",IF(VLOOKUP(BM6,Fundamentus!A:U,20,FALSE)&lt;2,"Alerta",IF(VLOOKUP(BM6,Fundamentus!A:U,20,FALSE)&gt;2,"Alta","n/a"))))</f>
        <v>Alerta</v>
      </c>
    </row>
    <row r="7" spans="1:155" s="2" customFormat="1" ht="11.25" x14ac:dyDescent="0.2">
      <c r="A7" s="4">
        <v>27.58</v>
      </c>
      <c r="B7" s="4">
        <v>25.55</v>
      </c>
      <c r="C7" s="4">
        <v>25.2</v>
      </c>
      <c r="D7" s="4">
        <v>25.73</v>
      </c>
      <c r="E7" s="4">
        <v>25.53</v>
      </c>
      <c r="F7" s="4">
        <v>25.2</v>
      </c>
      <c r="G7" s="4">
        <v>25.21</v>
      </c>
      <c r="H7" s="4">
        <v>26.85</v>
      </c>
      <c r="I7" s="4">
        <v>25.25</v>
      </c>
      <c r="J7" s="4">
        <v>25.59</v>
      </c>
      <c r="K7" s="4">
        <v>26.01</v>
      </c>
      <c r="L7" s="4">
        <v>25.6</v>
      </c>
      <c r="M7" s="4">
        <v>25.43</v>
      </c>
      <c r="N7" s="4">
        <v>25.01</v>
      </c>
      <c r="O7" s="4">
        <v>25.02</v>
      </c>
      <c r="P7" s="4">
        <v>25.85</v>
      </c>
      <c r="Q7" s="4">
        <v>25.85</v>
      </c>
      <c r="R7" s="4">
        <v>25.29</v>
      </c>
      <c r="S7" s="4">
        <v>24.81</v>
      </c>
      <c r="T7" s="4">
        <v>24.89</v>
      </c>
      <c r="U7" s="4">
        <v>24.86</v>
      </c>
      <c r="V7" s="4">
        <v>25.13</v>
      </c>
      <c r="W7" s="4">
        <v>25.02</v>
      </c>
      <c r="X7" s="4">
        <v>25.4</v>
      </c>
      <c r="Y7" s="4">
        <v>24.94</v>
      </c>
      <c r="Z7" s="4">
        <v>25.01</v>
      </c>
      <c r="AA7" s="4">
        <v>24.84</v>
      </c>
      <c r="AB7" s="4">
        <v>24.1</v>
      </c>
      <c r="AC7" s="4">
        <v>25.45</v>
      </c>
      <c r="AD7" s="4">
        <v>25.13</v>
      </c>
      <c r="AE7" s="4">
        <v>24.8</v>
      </c>
      <c r="AF7" s="4">
        <v>25.96</v>
      </c>
      <c r="AG7" s="4">
        <v>26.15</v>
      </c>
      <c r="AH7" s="4">
        <v>25.5</v>
      </c>
      <c r="AI7" s="4">
        <v>26.59</v>
      </c>
      <c r="AJ7" s="4">
        <v>25.4</v>
      </c>
      <c r="AK7" s="4">
        <v>27.97</v>
      </c>
      <c r="AL7" s="4">
        <v>28</v>
      </c>
      <c r="AM7" s="4">
        <v>26.13</v>
      </c>
      <c r="AN7" s="4">
        <v>26.17</v>
      </c>
      <c r="AO7" s="4">
        <v>25.74</v>
      </c>
      <c r="AP7" s="4">
        <v>25.94</v>
      </c>
      <c r="AQ7" s="4">
        <v>25.94</v>
      </c>
      <c r="AR7" s="4">
        <v>25.69</v>
      </c>
      <c r="AS7" s="4">
        <v>25.4</v>
      </c>
      <c r="AT7" s="4">
        <v>26.07</v>
      </c>
      <c r="AU7" s="4">
        <v>27.45</v>
      </c>
      <c r="AV7" s="4">
        <v>27</v>
      </c>
      <c r="AW7" s="4">
        <v>27.33</v>
      </c>
      <c r="AX7" s="4">
        <v>26.4</v>
      </c>
      <c r="AY7" s="12">
        <v>26.81</v>
      </c>
      <c r="AZ7" s="12">
        <v>26.65</v>
      </c>
      <c r="BA7" s="12">
        <v>27.82</v>
      </c>
      <c r="BB7" s="15">
        <v>26.4</v>
      </c>
      <c r="BC7" s="52">
        <v>26.68</v>
      </c>
      <c r="BD7" s="52">
        <v>26.99</v>
      </c>
      <c r="BE7" s="52">
        <v>27.58</v>
      </c>
      <c r="BF7" s="52">
        <v>27.49</v>
      </c>
      <c r="BG7" s="67">
        <v>29.05</v>
      </c>
      <c r="BH7" s="52">
        <v>28.76</v>
      </c>
      <c r="BI7" s="52">
        <v>28.38</v>
      </c>
      <c r="BJ7" s="52">
        <v>29.05</v>
      </c>
      <c r="BK7" s="52">
        <v>28.7</v>
      </c>
      <c r="BL7" s="52" cm="1">
        <f t="array" aca="1" ref="BL7" ca="1">_FV(EC7,"Preço")</f>
        <v>28.7</v>
      </c>
      <c r="BM7" s="69" t="s">
        <v>4</v>
      </c>
      <c r="BN7" s="36" cm="1">
        <f t="array" aca="1" ref="BN7" ca="1">_FV(EC7,"Média de volume",TRUE)</f>
        <v>2610</v>
      </c>
      <c r="BO7" s="36">
        <v>4100</v>
      </c>
      <c r="BP7" s="36" cm="1">
        <f t="array" aca="1" ref="BP7" ca="1">_FV(EC7,"Volume")</f>
        <v>4100</v>
      </c>
      <c r="BQ7" s="24" cm="1">
        <f t="array" aca="1" ref="BQ7" ca="1">_FV(EC7,"Beta")</f>
        <v>0.56079999999999997</v>
      </c>
      <c r="BR7" s="71" cm="1">
        <f t="array" aca="1" ref="BR7" ca="1">_FV(EC7,"Variação (%)",TRUE)</f>
        <v>3.3862000000000003E-2</v>
      </c>
      <c r="BT7" s="17" cm="1">
        <f t="array" aca="1" ref="BT7" ca="1">_FV(EC7,"Baixo")</f>
        <v>28.22</v>
      </c>
      <c r="BU7" s="17" cm="1">
        <f t="array" aca="1" ref="BU7" ca="1">_FV(EC7,"Alto")</f>
        <v>28.72</v>
      </c>
      <c r="BV7" s="24"/>
      <c r="BW7" s="63">
        <f ca="1">SQRT(22.5*(BL7/VLOOKUP(BM7,Fundamentus!A:U,3,FALSE))*(BL7/VLOOKUP(BM7,Fundamentus!A:U,4,FALSE)))</f>
        <v>71.402755919219388</v>
      </c>
      <c r="BY7" s="62">
        <f t="shared" ref="BY7:BY70" ca="1" si="24">(BL7 - BK7) / BK7</f>
        <v>0</v>
      </c>
      <c r="BZ7" s="8"/>
      <c r="CA7" s="61">
        <f t="shared" ref="CA7:CA70" si="25">MIN(A7:BK7)</f>
        <v>24.1</v>
      </c>
      <c r="CB7" s="61">
        <f t="shared" ref="CB7:CB70" si="26">MAX(A7:BK7)</f>
        <v>29.05</v>
      </c>
      <c r="CC7" s="61">
        <f t="shared" ref="CC7:CC70" si="27">AVERAGE(A7:BK7)</f>
        <v>26.147936507936517</v>
      </c>
      <c r="CD7" s="14"/>
      <c r="CE7" s="35">
        <f t="shared" si="1"/>
        <v>27.677332346525866</v>
      </c>
      <c r="CF7" s="15">
        <f t="shared" ref="CF7:CF70" si="28">FORECAST("04/07/2025", BH7:BK7, $BH$5:$BK$5)</f>
        <v>28.747000000000014</v>
      </c>
      <c r="CG7" s="35">
        <f t="shared" si="2"/>
        <v>29.816667653474163</v>
      </c>
      <c r="CI7" s="14"/>
      <c r="CJ7" s="17">
        <f t="shared" si="3"/>
        <v>20.800000000000004</v>
      </c>
      <c r="CK7" s="17">
        <f t="shared" si="4"/>
        <v>22.450000000000003</v>
      </c>
      <c r="CL7" s="17">
        <f t="shared" si="5"/>
        <v>25.750000000000004</v>
      </c>
      <c r="CM7" s="38">
        <f t="shared" ref="CM7:CM70" si="29">(CB7+CA7+BJ7)/3</f>
        <v>27.400000000000002</v>
      </c>
      <c r="CN7" s="17">
        <f t="shared" si="6"/>
        <v>30.700000000000003</v>
      </c>
      <c r="CO7" s="17">
        <f t="shared" si="7"/>
        <v>32.35</v>
      </c>
      <c r="CP7" s="17">
        <f t="shared" si="8"/>
        <v>35.650000000000006</v>
      </c>
      <c r="CQ7" s="2" cm="1">
        <f t="array" aca="1" ref="CQ7" ca="1">MAX(_xlfn._xlws.FILTER(CJ7:CP7,CJ7:CP7&lt;BL7))</f>
        <v>27.400000000000002</v>
      </c>
      <c r="CR7" s="2" cm="1">
        <f t="array" aca="1" ref="CR7" ca="1">MIN(_xlfn._xlws.FILTER($CJ7:$CP7,$CJ7:$CP7&gt;BL7))</f>
        <v>30.700000000000003</v>
      </c>
      <c r="CS7" s="16">
        <f t="shared" ref="CS7:CS13" ca="1" si="30">(CR7/CQ7)-1</f>
        <v>0.12043795620437958</v>
      </c>
      <c r="CT7" s="20">
        <f t="shared" ref="CT7:CT13" ca="1" si="31">-$CS7/2</f>
        <v>-6.0218978102189791E-2</v>
      </c>
      <c r="CU7" s="20">
        <f t="shared" ref="CU7:CU13" ca="1" si="32">-$CS7/3</f>
        <v>-4.014598540145986E-2</v>
      </c>
      <c r="CV7" s="20">
        <f t="shared" ref="CV7:CV13" ca="1" si="33">-$CS7/5</f>
        <v>-2.4087591240875915E-2</v>
      </c>
      <c r="CW7" s="20">
        <f t="shared" ref="CW7:CW13" ca="1" si="34">-$CS7/9</f>
        <v>-1.3381995133819954E-2</v>
      </c>
      <c r="CX7" s="20">
        <f t="shared" ca="1" si="9"/>
        <v>-7.0845856590811516E-3</v>
      </c>
      <c r="CY7" s="20">
        <f t="shared" ca="1" si="10"/>
        <v>-3.6496350364963511E-3</v>
      </c>
      <c r="CZ7" s="20">
        <f t="shared" ca="1" si="11"/>
        <v>-1.8528916339135321E-3</v>
      </c>
      <c r="DA7" s="21">
        <f t="shared" ca="1" si="12"/>
        <v>1.8528916339135321E-3</v>
      </c>
      <c r="DB7" s="21">
        <f t="shared" ca="1" si="13"/>
        <v>3.6496350364963511E-3</v>
      </c>
      <c r="DC7" s="21">
        <f t="shared" ca="1" si="14"/>
        <v>7.0845856590811516E-3</v>
      </c>
      <c r="DD7" s="21">
        <f t="shared" ref="DD7:DD13" ca="1" si="35">-$CS7/9*-1</f>
        <v>1.3381995133819954E-2</v>
      </c>
      <c r="DE7" s="21">
        <f t="shared" ref="DE7:DE13" ca="1" si="36">-$CS7/5*-1</f>
        <v>2.4087591240875915E-2</v>
      </c>
      <c r="DF7" s="21">
        <f t="shared" ref="DF7:DF13" ca="1" si="37">-$CS7/3*-1</f>
        <v>4.014598540145986E-2</v>
      </c>
      <c r="DG7" s="21">
        <f t="shared" ref="DG7:DG13" ca="1" si="38">-$CS7/2*-1</f>
        <v>6.0218978102189791E-2</v>
      </c>
      <c r="DI7" s="16" cm="1">
        <f t="array" aca="1" ref="DI7" ca="1">MAX(_xlfn._xlws.FILTER(CT7:DG7,CT7:DG7&lt;BR7))</f>
        <v>2.4087591240875915E-2</v>
      </c>
      <c r="DJ7" s="16" cm="1">
        <f t="array" aca="1" ref="DJ7" ca="1">MIN(_xlfn._xlws.FILTER(CT7:DG7,CT7:DG7&gt;BR7))</f>
        <v>4.014598540145986E-2</v>
      </c>
      <c r="DK7" s="2" cm="1">
        <f t="array" aca="1" ref="DK7" ca="1">_FV(EC7,"Fechamento anterior",TRUE)</f>
        <v>27.76</v>
      </c>
      <c r="DL7" s="28">
        <f t="shared" ca="1" si="15"/>
        <v>0.60865863243384011</v>
      </c>
      <c r="DM7" s="15">
        <f t="shared" ca="1" si="16"/>
        <v>28.428671532846717</v>
      </c>
      <c r="DN7" s="15">
        <f t="shared" ca="1" si="17"/>
        <v>28.874452554744529</v>
      </c>
      <c r="DO7" s="9"/>
      <c r="DP7" s="9"/>
      <c r="DQ7" s="9"/>
      <c r="DR7" s="89">
        <v>2.8498609823911008E-3</v>
      </c>
      <c r="DS7" s="89">
        <v>3.4349506225848005E-3</v>
      </c>
      <c r="DT7" s="89">
        <v>1.0705596107055961E-2</v>
      </c>
      <c r="DU7" s="89">
        <v>1.6058394160583946E-2</v>
      </c>
      <c r="DV7" s="89">
        <f t="shared" ca="1" si="18"/>
        <v>1.6058394160583946E-2</v>
      </c>
      <c r="DW7" s="72">
        <f t="shared" ca="1" si="19"/>
        <v>-4.3938881247240311E-2</v>
      </c>
      <c r="DX7" s="37"/>
      <c r="DY7" s="35">
        <f t="shared" ref="DY7:DY70" si="39">_xlfn.STDEV.P(BF7:BK7)</f>
        <v>0.53483382673707469</v>
      </c>
      <c r="DZ7" s="56"/>
      <c r="EA7" s="56"/>
      <c r="EC7" s="2" t="e" vm="7">
        <v>#VALUE!</v>
      </c>
      <c r="EE7" s="10" cm="1">
        <f t="array" aca="1" ref="EE7" ca="1">_FV(EC7,"Ações em circulação",TRUE)</f>
        <v>20585620</v>
      </c>
      <c r="EF7" s="18">
        <f>VLOOKUP(BM7,Fundamentus!A:U,5,FALSE)</f>
        <v>0.81299999999999994</v>
      </c>
      <c r="EG7" s="2">
        <f t="shared" ca="1" si="20"/>
        <v>726700238.62238622</v>
      </c>
      <c r="EH7" s="17">
        <v>102246723.57416974</v>
      </c>
      <c r="EI7" s="17">
        <f t="shared" ca="1" si="21"/>
        <v>102246723.57416974</v>
      </c>
      <c r="EK7" s="16">
        <f t="shared" ca="1" si="22"/>
        <v>0</v>
      </c>
      <c r="EL7" s="32" t="str">
        <f>IF(VLOOKUP(BM7,Fundamentus!A:U,3,FALSE)&lt;15,"Bom",IF(VLOOKUP(BM7,Fundamentus!A:U,3,FALSE)&gt;15,"Ruim","n/a"))</f>
        <v>Bom</v>
      </c>
      <c r="EM7" s="28" t="str">
        <f>IF(VLOOKUP(BM7,Fundamentus!A:U,4,FALSE)&lt;1,"Baixo",IF(VLOOKUP(BM7,Fundamentus!A:U,4,FALSE)&lt;1.5,"Moderado",IF(VLOOKUP(BM7,Fundamentus!A:U,4,FALSE)&gt;1.5,"Alto","n/a")))</f>
        <v>Baixo</v>
      </c>
      <c r="EN7" s="17" t="str">
        <f>IF(VLOOKUP(BM7,Fundamentus!A:U,8,FALSE)&lt;0,"Risco elevado",IF(VLOOKUP(BM7,Fundamentus!A:U,8,FALSE)&lt;1,"Saudável",IF(VLOOKUP(BM7,Fundamentus!A:U,8,FALSE)&lt;3,"Estável",IF(VLOOKUP(BM7,Fundamentus!A:U,8,FALSE)&gt;3,"Alerta","n/a"))))</f>
        <v>Estável</v>
      </c>
      <c r="EO7" s="28" t="str">
        <f t="shared" si="23"/>
        <v>Ruim</v>
      </c>
      <c r="EP7" s="17" t="str">
        <f>IF(VLOOKUP(BM7,Fundamentus!A:U,12,FALSE)&lt;2,"Subvalorizada",IF(VLOOKUP(BM7,Fundamentus!A:U,12,FALSE)&lt;6,"Muita barata",IF(VLOOKUP(BM7,Fundamentus!A:U,12,FALSE)&lt;6,"Barata",IF(VLOOKUP(BM7,Fundamentus!A:U,12,FALSE)&lt;8,"Atrativa",IF(VLOOKUP(BM7,Fundamentus!A:U,12,FALSE)&gt;8,"Supervalorizada","n/a")))))</f>
        <v>Muita barata</v>
      </c>
      <c r="ER7" s="17" t="str">
        <f>IF(VLOOKUP(BM7,Fundamentus!A:U,17,FALSE)&lt;0.1,"Fraco retorno",IF(VLOOKUP(BM7,Fundamentus!A:U,17,FALSE)&gt;0.1,"Bom retorno","n/a"))</f>
        <v>Bom retorno</v>
      </c>
      <c r="ES7" s="17" t="str">
        <f>IF(VLOOKUP(BM7,Fundamentus!A:U,16,FALSE)&lt;0.1,"Ineficiente",IF(VLOOKUP(BM7,Fundamentus!A:U,16,FALSE)&gt;0.1,"Eficiente","n/a"))</f>
        <v>Ineficiente</v>
      </c>
      <c r="ET7" s="33" t="str">
        <f>IF(VLOOKUP(BM7,Fundamentus!A:U,16,FALSE)&lt;0.1,"Oper. Ineficiente",IF(VLOOKUP(BM7,Fundamentus!A:U,16,FALSE)&gt;0.1,"Oper.Eficiente","n/a"))</f>
        <v>Oper. Ineficiente</v>
      </c>
      <c r="EU7" s="34">
        <f>VLOOKUP(BM7,Fundamentus!A:U,14,FALSE)</f>
        <v>0.14069999999999999</v>
      </c>
      <c r="EV7" s="17" t="str">
        <f>IF(VLOOKUP(BM7,Fundamentus!A:U,21,FALSE)&lt;0,"Negativo",IF(VLOOKUP(BM7,Fundamentus!A:U,21,FALSE)&lt;0.05,"Fraco",IF(VLOOKUP(BM7,Fundamentus!A:U,21,FALSE)&lt;0.1,"Bom",IF(VLOOKUP(BM7,Fundamentus!A:U,21,FALSE)&gt;0.1,"Muito bom","n/a"))))</f>
        <v>Muito bom</v>
      </c>
      <c r="EX7" s="29" t="str">
        <f>IF(VLOOKUP(BM7,Fundamentus!A:U,15,FALSE)&gt;1,"Bom",IF(VLOOKUP(BM7,Fundamentus!A:U,15,FALSE)&lt;1,"Ruim","n/a"))</f>
        <v>Bom</v>
      </c>
      <c r="EY7" s="17" t="str">
        <f>IF(VLOOKUP(BM7,Fundamentus!A:U,20,FALSE)&lt;0.5,"Baixa",IF(VLOOKUP(BM7,Fundamentus!A:U,20,FALSE)&lt;1,"Moderada",IF(VLOOKUP(BM7,Fundamentus!A:U,20,FALSE)&lt;2,"Alerta",IF(VLOOKUP(BM7,Fundamentus!A:U,20,FALSE)&gt;2,"Alta","n/a"))))</f>
        <v>Baixa</v>
      </c>
    </row>
    <row r="8" spans="1:155" s="2" customFormat="1" ht="11.25" x14ac:dyDescent="0.2">
      <c r="A8" s="4">
        <v>26.09</v>
      </c>
      <c r="B8" s="4">
        <v>25.3</v>
      </c>
      <c r="C8" s="4">
        <v>26.19</v>
      </c>
      <c r="D8" s="4">
        <v>27.09</v>
      </c>
      <c r="E8" s="4">
        <v>25.4</v>
      </c>
      <c r="F8" s="4">
        <v>25.01</v>
      </c>
      <c r="G8" s="4">
        <v>25.25</v>
      </c>
      <c r="H8" s="4">
        <v>26.47</v>
      </c>
      <c r="I8" s="4">
        <v>26.1</v>
      </c>
      <c r="J8" s="4">
        <v>26.98</v>
      </c>
      <c r="K8" s="4">
        <v>25.95</v>
      </c>
      <c r="L8" s="4">
        <v>24.55</v>
      </c>
      <c r="M8" s="4">
        <v>24.68</v>
      </c>
      <c r="N8" s="4">
        <v>24.56</v>
      </c>
      <c r="O8" s="4">
        <v>24.43</v>
      </c>
      <c r="P8" s="4">
        <v>24.63</v>
      </c>
      <c r="Q8" s="4">
        <v>25.17</v>
      </c>
      <c r="R8" s="4">
        <v>24.71</v>
      </c>
      <c r="S8" s="4">
        <v>24.85</v>
      </c>
      <c r="T8" s="4">
        <v>24.7</v>
      </c>
      <c r="U8" s="4">
        <v>24.44</v>
      </c>
      <c r="V8" s="4">
        <v>24.22</v>
      </c>
      <c r="W8" s="4">
        <v>24.13</v>
      </c>
      <c r="X8" s="4">
        <v>24.71</v>
      </c>
      <c r="Y8" s="4">
        <v>24.34</v>
      </c>
      <c r="Z8" s="4">
        <v>24.43</v>
      </c>
      <c r="AA8" s="4">
        <v>24.1</v>
      </c>
      <c r="AB8" s="4">
        <v>24.37</v>
      </c>
      <c r="AC8" s="4">
        <v>24.2</v>
      </c>
      <c r="AD8" s="4">
        <v>24.37</v>
      </c>
      <c r="AE8" s="4">
        <v>24.16</v>
      </c>
      <c r="AF8" s="4">
        <v>24.53</v>
      </c>
      <c r="AG8" s="4">
        <v>24.19</v>
      </c>
      <c r="AH8" s="4">
        <v>23.13</v>
      </c>
      <c r="AI8" s="4">
        <v>23.05</v>
      </c>
      <c r="AJ8" s="4">
        <v>22.55</v>
      </c>
      <c r="AK8" s="4">
        <v>22.61</v>
      </c>
      <c r="AL8" s="4">
        <v>22.95</v>
      </c>
      <c r="AM8" s="4">
        <v>22.94</v>
      </c>
      <c r="AN8" s="4">
        <v>23.8</v>
      </c>
      <c r="AO8" s="4">
        <v>23.9</v>
      </c>
      <c r="AP8" s="4">
        <v>23.78</v>
      </c>
      <c r="AQ8" s="4">
        <v>23.66</v>
      </c>
      <c r="AR8" s="4">
        <v>23.2</v>
      </c>
      <c r="AS8" s="4">
        <v>23.55</v>
      </c>
      <c r="AT8" s="4">
        <v>22.85</v>
      </c>
      <c r="AU8" s="4">
        <v>23.13</v>
      </c>
      <c r="AV8" s="4">
        <v>22.44</v>
      </c>
      <c r="AW8" s="4">
        <v>22.1</v>
      </c>
      <c r="AX8" s="4">
        <v>22.17</v>
      </c>
      <c r="AY8" s="12">
        <v>22.39</v>
      </c>
      <c r="AZ8" s="12">
        <v>23.28</v>
      </c>
      <c r="BA8" s="12">
        <v>23.99</v>
      </c>
      <c r="BB8" s="15">
        <v>22.87</v>
      </c>
      <c r="BC8" s="52">
        <v>23.42</v>
      </c>
      <c r="BD8" s="52">
        <v>23.5</v>
      </c>
      <c r="BE8" s="52">
        <v>23.4</v>
      </c>
      <c r="BF8" s="52">
        <v>23.14</v>
      </c>
      <c r="BG8" s="67">
        <v>23.12</v>
      </c>
      <c r="BH8" s="52">
        <v>23.03</v>
      </c>
      <c r="BI8" s="52">
        <v>22.79</v>
      </c>
      <c r="BJ8" s="52">
        <v>23.31</v>
      </c>
      <c r="BK8" s="52">
        <v>22.8</v>
      </c>
      <c r="BL8" s="52" cm="1">
        <f t="array" aca="1" ref="BL8" ca="1">_FV(EC8,"Preço")</f>
        <v>22.8</v>
      </c>
      <c r="BM8" s="69" t="s">
        <v>5</v>
      </c>
      <c r="BN8" s="36" cm="1">
        <f t="array" aca="1" ref="BN8" ca="1">_FV(EC8,"Média de volume",TRUE)</f>
        <v>1327920</v>
      </c>
      <c r="BO8" s="36">
        <v>1091100</v>
      </c>
      <c r="BP8" s="36" cm="1">
        <f t="array" aca="1" ref="BP8" ca="1">_FV(EC8,"Volume")</f>
        <v>1091100</v>
      </c>
      <c r="BQ8" s="24" cm="1">
        <f t="array" aca="1" ref="BQ8" ca="1">_FV(EC8,"Beta")</f>
        <v>0.70120000000000005</v>
      </c>
      <c r="BR8" s="71" cm="1">
        <f t="array" aca="1" ref="BR8" ca="1">_FV(EC8,"Variação (%)",TRUE)</f>
        <v>-8.7639999999999994E-4</v>
      </c>
      <c r="BT8" s="17" cm="1">
        <f t="array" aca="1" ref="BT8" ca="1">_FV(EC8,"Baixo")</f>
        <v>22.65</v>
      </c>
      <c r="BU8" s="17" cm="1">
        <f t="array" aca="1" ref="BU8" ca="1">_FV(EC8,"Alto")</f>
        <v>22.89</v>
      </c>
      <c r="BV8" s="24"/>
      <c r="BW8" s="63">
        <f ca="1">SQRT(22.5*(BL8/VLOOKUP(BM8,Fundamentus!A:U,3,FALSE))*(BL8/VLOOKUP(BM8,Fundamentus!A:U,4,FALSE)))</f>
        <v>60.434027358463105</v>
      </c>
      <c r="BY8" s="62">
        <f t="shared" ca="1" si="24"/>
        <v>0</v>
      </c>
      <c r="BZ8" s="8"/>
      <c r="CA8" s="61">
        <f t="shared" si="25"/>
        <v>22.1</v>
      </c>
      <c r="CB8" s="61">
        <f t="shared" si="26"/>
        <v>27.09</v>
      </c>
      <c r="CC8" s="61">
        <f t="shared" si="27"/>
        <v>24.081746031746036</v>
      </c>
      <c r="CD8" s="14"/>
      <c r="CE8" s="35">
        <f t="shared" si="1"/>
        <v>22.600651786010854</v>
      </c>
      <c r="CF8" s="15">
        <f t="shared" si="28"/>
        <v>22.974000000000004</v>
      </c>
      <c r="CG8" s="35">
        <f t="shared" si="2"/>
        <v>23.347348213989154</v>
      </c>
      <c r="CI8" s="14"/>
      <c r="CJ8" s="17">
        <f t="shared" si="3"/>
        <v>16.253333333333337</v>
      </c>
      <c r="CK8" s="17">
        <f t="shared" si="4"/>
        <v>19.176666666666669</v>
      </c>
      <c r="CL8" s="17">
        <f t="shared" si="5"/>
        <v>21.243333333333336</v>
      </c>
      <c r="CM8" s="38">
        <f t="shared" si="29"/>
        <v>24.166666666666668</v>
      </c>
      <c r="CN8" s="17">
        <f t="shared" si="6"/>
        <v>26.233333333333334</v>
      </c>
      <c r="CO8" s="17">
        <f t="shared" si="7"/>
        <v>29.156666666666666</v>
      </c>
      <c r="CP8" s="17">
        <f t="shared" si="8"/>
        <v>31.223333333333333</v>
      </c>
      <c r="CQ8" s="2" cm="1">
        <f t="array" aca="1" ref="CQ8" ca="1">MAX(_xlfn._xlws.FILTER(CJ8:CP8,CJ8:CP8&lt;BL8))</f>
        <v>21.243333333333336</v>
      </c>
      <c r="CR8" s="2" cm="1">
        <f t="array" aca="1" ref="CR8" ca="1">MIN(_xlfn._xlws.FILTER($CJ8:$CP8,$CJ8:$CP8&gt;BL8))</f>
        <v>24.166666666666668</v>
      </c>
      <c r="CS8" s="16">
        <f t="shared" ca="1" si="30"/>
        <v>0.13761179978032323</v>
      </c>
      <c r="CT8" s="20">
        <f t="shared" ca="1" si="31"/>
        <v>-6.8805899890161615E-2</v>
      </c>
      <c r="CU8" s="20">
        <f t="shared" ca="1" si="32"/>
        <v>-4.5870599926774412E-2</v>
      </c>
      <c r="CV8" s="20">
        <f t="shared" ca="1" si="33"/>
        <v>-2.7522359956064647E-2</v>
      </c>
      <c r="CW8" s="20">
        <f t="shared" ca="1" si="34"/>
        <v>-1.529019997559147E-2</v>
      </c>
      <c r="CX8" s="20">
        <f ca="1">-$CS8/17</f>
        <v>-8.094811751783719E-3</v>
      </c>
      <c r="CY8" s="20">
        <f ca="1">-$CS8/33</f>
        <v>-4.1700545387976734E-3</v>
      </c>
      <c r="CZ8" s="20">
        <f ca="1">-$CS8/65</f>
        <v>-2.1171046120049726E-3</v>
      </c>
      <c r="DA8" s="21">
        <f ca="1">-$CS8/65*-1</f>
        <v>2.1171046120049726E-3</v>
      </c>
      <c r="DB8" s="21">
        <f ca="1">-$CS8/33*-1</f>
        <v>4.1700545387976734E-3</v>
      </c>
      <c r="DC8" s="21">
        <f ca="1">-$CS8/17*-1</f>
        <v>8.094811751783719E-3</v>
      </c>
      <c r="DD8" s="21">
        <f t="shared" ca="1" si="35"/>
        <v>1.529019997559147E-2</v>
      </c>
      <c r="DE8" s="21">
        <f t="shared" ca="1" si="36"/>
        <v>2.7522359956064647E-2</v>
      </c>
      <c r="DF8" s="21">
        <f t="shared" ca="1" si="37"/>
        <v>4.5870599926774412E-2</v>
      </c>
      <c r="DG8" s="21">
        <f t="shared" ca="1" si="38"/>
        <v>6.8805899890161615E-2</v>
      </c>
      <c r="DI8" s="16" cm="1">
        <f t="array" aca="1" ref="DI8" ca="1">MAX(_xlfn._xlws.FILTER(CT8:DG8,CT8:DG8&lt;BR8))</f>
        <v>-2.1171046120049726E-3</v>
      </c>
      <c r="DJ8" s="16" cm="1">
        <f t="array" aca="1" ref="DJ8" ca="1">MIN(_xlfn._xlws.FILTER(CT8:DG8,CT8:DG8&gt;BR8))</f>
        <v>2.1171046120049726E-3</v>
      </c>
      <c r="DK8" s="2" cm="1">
        <f t="array" aca="1" ref="DK8" ca="1">_FV(EC8,"Fechamento anterior",TRUE)</f>
        <v>22.82</v>
      </c>
      <c r="DL8" s="28">
        <f t="shared" ca="1" si="15"/>
        <v>0.29301349013697914</v>
      </c>
      <c r="DM8" s="15">
        <f t="shared" ca="1" si="16"/>
        <v>22.771687672754048</v>
      </c>
      <c r="DN8" s="15">
        <f t="shared" ca="1" si="17"/>
        <v>22.868312327245953</v>
      </c>
      <c r="DO8" s="9"/>
      <c r="DP8" s="9"/>
      <c r="DQ8" s="9"/>
      <c r="DR8" s="89">
        <v>1.2896710255636496E-3</v>
      </c>
      <c r="DS8" s="89">
        <v>4.351891202719926E-3</v>
      </c>
      <c r="DT8" s="89">
        <v>2.0529499267927008E-3</v>
      </c>
      <c r="DU8" s="89">
        <v>4.2342092240099452E-3</v>
      </c>
      <c r="DV8" s="89">
        <f t="shared" ca="1" si="18"/>
        <v>4.2342092240099452E-3</v>
      </c>
      <c r="DW8" s="72">
        <f t="shared" ca="1" si="19"/>
        <v>-0.46605285221763437</v>
      </c>
      <c r="DX8" s="37"/>
      <c r="DY8" s="35">
        <f t="shared" si="39"/>
        <v>0.18667410699457535</v>
      </c>
      <c r="DZ8" s="56"/>
      <c r="EA8" s="56"/>
      <c r="EC8" s="2" t="e" vm="8">
        <v>#VALUE!</v>
      </c>
      <c r="EE8" s="10" cm="1">
        <f t="array" aca="1" ref="EE8" ca="1">_FV(EC8,"Ações em circulação",TRUE)</f>
        <v>658883300</v>
      </c>
      <c r="EF8" s="18">
        <f>VLOOKUP(BM8,Fundamentus!A:U,5,FALSE)</f>
        <v>1.8129999999999999</v>
      </c>
      <c r="EG8" s="2">
        <f t="shared" ca="1" si="20"/>
        <v>8286011715.3888588</v>
      </c>
      <c r="EH8" s="17">
        <v>3572099650.504137</v>
      </c>
      <c r="EI8" s="17">
        <f t="shared" ca="1" si="21"/>
        <v>3572099650.504137</v>
      </c>
      <c r="EK8" s="16">
        <f t="shared" ca="1" si="22"/>
        <v>0</v>
      </c>
      <c r="EL8" s="32" t="str">
        <f>IF(VLOOKUP(BM8,Fundamentus!A:U,3,FALSE)&lt;15,"Bom",IF(VLOOKUP(BM8,Fundamentus!A:U,3,FALSE)&gt;15,"Ruim","n/a"))</f>
        <v>Bom</v>
      </c>
      <c r="EM8" s="28" t="str">
        <f>IF(VLOOKUP(BM8,Fundamentus!A:U,4,FALSE)&lt;1,"Baixo",IF(VLOOKUP(BM8,Fundamentus!A:U,4,FALSE)&lt;1.5,"Moderado",IF(VLOOKUP(BM8,Fundamentus!A:U,4,FALSE)&gt;1.5,"Alto","n/a")))</f>
        <v>Baixo</v>
      </c>
      <c r="EN8" s="17" t="str">
        <f>IF(VLOOKUP(BM8,Fundamentus!A:U,8,FALSE)&lt;0,"Risco elevado",IF(VLOOKUP(BM8,Fundamentus!A:U,8,FALSE)&lt;1,"Saudável",IF(VLOOKUP(BM8,Fundamentus!A:U,8,FALSE)&lt;3,"Estável",IF(VLOOKUP(BM8,Fundamentus!A:U,8,FALSE)&gt;3,"Alerta","n/a"))))</f>
        <v>Estável</v>
      </c>
      <c r="EO8" s="28" t="str">
        <f t="shared" si="23"/>
        <v>Bom</v>
      </c>
      <c r="EP8" s="17" t="str">
        <f>IF(VLOOKUP(BM8,Fundamentus!A:U,12,FALSE)&lt;2,"Subvalorizada",IF(VLOOKUP(BM8,Fundamentus!A:U,12,FALSE)&lt;6,"Muita barata",IF(VLOOKUP(BM8,Fundamentus!A:U,12,FALSE)&lt;6,"Barata",IF(VLOOKUP(BM8,Fundamentus!A:U,12,FALSE)&lt;8,"Atrativa",IF(VLOOKUP(BM8,Fundamentus!A:U,12,FALSE)&gt;8,"Supervalorizada","n/a")))))</f>
        <v>Muita barata</v>
      </c>
      <c r="ER8" s="17" t="str">
        <f>IF(VLOOKUP(BM8,Fundamentus!A:U,17,FALSE)&lt;0.1,"Fraco retorno",IF(VLOOKUP(BM8,Fundamentus!A:U,17,FALSE)&gt;0.1,"Bom retorno","n/a"))</f>
        <v>Bom retorno</v>
      </c>
      <c r="ES8" s="17" t="str">
        <f>IF(VLOOKUP(BM8,Fundamentus!A:U,16,FALSE)&lt;0.1,"Ineficiente",IF(VLOOKUP(BM8,Fundamentus!A:U,16,FALSE)&gt;0.1,"Eficiente","n/a"))</f>
        <v>Eficiente</v>
      </c>
      <c r="ET8" s="33" t="str">
        <f>IF(VLOOKUP(BM8,Fundamentus!A:U,16,FALSE)&lt;0.1,"Oper. Ineficiente",IF(VLOOKUP(BM8,Fundamentus!A:U,16,FALSE)&gt;0.1,"Oper.Eficiente","n/a"))</f>
        <v>Oper.Eficiente</v>
      </c>
      <c r="EU8" s="34">
        <f>VLOOKUP(BM8,Fundamentus!A:U,14,FALSE)</f>
        <v>0.43109999999999998</v>
      </c>
      <c r="EV8" s="17" t="str">
        <f>IF(VLOOKUP(BM8,Fundamentus!A:U,21,FALSE)&lt;0,"Negativo",IF(VLOOKUP(BM8,Fundamentus!A:U,21,FALSE)&lt;0.05,"Fraco",IF(VLOOKUP(BM8,Fundamentus!A:U,21,FALSE)&lt;0.1,"Bom",IF(VLOOKUP(BM8,Fundamentus!A:U,21,FALSE)&gt;0.1,"Muito bom","n/a"))))</f>
        <v>Muito bom</v>
      </c>
      <c r="EX8" s="29" t="str">
        <f>IF(VLOOKUP(BM8,Fundamentus!A:U,15,FALSE)&gt;1,"Bom",IF(VLOOKUP(BM8,Fundamentus!A:U,15,FALSE)&lt;1,"Ruim","n/a"))</f>
        <v>Bom</v>
      </c>
      <c r="EY8" s="17" t="str">
        <f>IF(VLOOKUP(BM8,Fundamentus!A:U,20,FALSE)&lt;0.5,"Baixa",IF(VLOOKUP(BM8,Fundamentus!A:U,20,FALSE)&lt;1,"Moderada",IF(VLOOKUP(BM8,Fundamentus!A:U,20,FALSE)&lt;2,"Alerta",IF(VLOOKUP(BM8,Fundamentus!A:U,20,FALSE)&gt;2,"Alta","n/a"))))</f>
        <v>Moderada</v>
      </c>
    </row>
    <row r="9" spans="1:155" s="2" customFormat="1" ht="11.25" x14ac:dyDescent="0.2">
      <c r="A9" s="4">
        <v>9.1999999999999993</v>
      </c>
      <c r="B9" s="4">
        <v>8.98</v>
      </c>
      <c r="C9" s="4">
        <v>9.07</v>
      </c>
      <c r="D9" s="4">
        <v>9.0399999999999991</v>
      </c>
      <c r="E9" s="4">
        <v>9.01</v>
      </c>
      <c r="F9" s="4">
        <v>8.7899999999999991</v>
      </c>
      <c r="G9" s="4">
        <v>8.8000000000000007</v>
      </c>
      <c r="H9" s="4">
        <v>8.7200000000000006</v>
      </c>
      <c r="I9" s="4">
        <v>8.9700000000000006</v>
      </c>
      <c r="J9" s="4">
        <v>9.15</v>
      </c>
      <c r="K9" s="4">
        <v>9.07</v>
      </c>
      <c r="L9" s="4">
        <v>9.02</v>
      </c>
      <c r="M9" s="4">
        <v>8.93</v>
      </c>
      <c r="N9" s="4">
        <v>8.9499999999999993</v>
      </c>
      <c r="O9" s="4">
        <v>8.89</v>
      </c>
      <c r="P9" s="4">
        <v>9.0299999999999994</v>
      </c>
      <c r="Q9" s="4">
        <v>9.0399999999999991</v>
      </c>
      <c r="R9" s="4">
        <v>9.02</v>
      </c>
      <c r="S9" s="4">
        <v>9.0399999999999991</v>
      </c>
      <c r="T9" s="4">
        <v>8.99</v>
      </c>
      <c r="U9" s="4">
        <v>8.9</v>
      </c>
      <c r="V9" s="4">
        <v>8.9499999999999993</v>
      </c>
      <c r="W9" s="4">
        <v>8.98</v>
      </c>
      <c r="X9" s="4">
        <v>8.84</v>
      </c>
      <c r="Y9" s="4">
        <v>8.81</v>
      </c>
      <c r="Z9" s="4">
        <v>8.82</v>
      </c>
      <c r="AA9" s="4">
        <v>8.68</v>
      </c>
      <c r="AB9" s="4">
        <v>8.49</v>
      </c>
      <c r="AC9" s="4">
        <v>8.4499999999999993</v>
      </c>
      <c r="AD9" s="4">
        <v>8.32</v>
      </c>
      <c r="AE9" s="4">
        <v>8.57</v>
      </c>
      <c r="AF9" s="4">
        <v>8.24</v>
      </c>
      <c r="AG9" s="4">
        <v>8.1199999999999992</v>
      </c>
      <c r="AH9" s="4">
        <v>8.42</v>
      </c>
      <c r="AI9" s="4">
        <v>8.4499999999999993</v>
      </c>
      <c r="AJ9" s="4">
        <v>8.2100000000000009</v>
      </c>
      <c r="AK9" s="4">
        <v>8.3000000000000007</v>
      </c>
      <c r="AL9" s="4">
        <v>8.2899999999999991</v>
      </c>
      <c r="AM9" s="4">
        <v>8.2200000000000006</v>
      </c>
      <c r="AN9" s="4">
        <v>8.27</v>
      </c>
      <c r="AO9" s="4">
        <v>8.19</v>
      </c>
      <c r="AP9" s="4">
        <v>8.1999999999999993</v>
      </c>
      <c r="AQ9" s="4">
        <v>8.14</v>
      </c>
      <c r="AR9" s="4">
        <v>8.16</v>
      </c>
      <c r="AS9" s="4">
        <v>8.26</v>
      </c>
      <c r="AT9" s="4">
        <v>8.2200000000000006</v>
      </c>
      <c r="AU9" s="4">
        <v>8.1750000000000007</v>
      </c>
      <c r="AV9" s="4">
        <v>8.5500000000000007</v>
      </c>
      <c r="AW9" s="4">
        <v>8.4600000000000009</v>
      </c>
      <c r="AX9" s="4">
        <v>8.35</v>
      </c>
      <c r="AY9" s="12">
        <v>8.4600000000000009</v>
      </c>
      <c r="AZ9" s="12">
        <v>8.6199999999999992</v>
      </c>
      <c r="BA9" s="12">
        <v>8.83</v>
      </c>
      <c r="BB9" s="15">
        <v>8.73</v>
      </c>
      <c r="BC9" s="52">
        <v>8.52</v>
      </c>
      <c r="BD9" s="52">
        <v>8.77</v>
      </c>
      <c r="BE9" s="52">
        <v>8.64</v>
      </c>
      <c r="BF9" s="52">
        <v>8.56</v>
      </c>
      <c r="BG9" s="67">
        <v>8.58</v>
      </c>
      <c r="BH9" s="52">
        <v>8.42</v>
      </c>
      <c r="BI9" s="52">
        <v>8.49</v>
      </c>
      <c r="BJ9" s="52">
        <v>8.6300000000000008</v>
      </c>
      <c r="BK9" s="52">
        <v>8.5</v>
      </c>
      <c r="BL9" s="52" cm="1">
        <f t="array" aca="1" ref="BL9" ca="1">_FV(EC9,"Preço")</f>
        <v>8.5</v>
      </c>
      <c r="BM9" s="69" t="s">
        <v>6</v>
      </c>
      <c r="BN9" s="36" cm="1">
        <f t="array" aca="1" ref="BN9" ca="1">_FV(EC9,"Média de volume",TRUE)</f>
        <v>13750</v>
      </c>
      <c r="BO9" s="36">
        <v>15500</v>
      </c>
      <c r="BP9" s="36" cm="1">
        <f t="array" aca="1" ref="BP9" ca="1">_FV(EC9,"Volume")</f>
        <v>15500</v>
      </c>
      <c r="BQ9" s="24" cm="1">
        <f t="array" aca="1" ref="BQ9" ca="1">_FV(EC9,"Beta")</f>
        <v>0.45379999999999998</v>
      </c>
      <c r="BR9" s="71" cm="1">
        <f t="array" aca="1" ref="BR9" ca="1">_FV(EC9,"Variação (%)",TRUE)</f>
        <v>7.1089999999999999E-3</v>
      </c>
      <c r="BT9" s="17" cm="1">
        <f t="array" aca="1" ref="BT9" ca="1">_FV(EC9,"Baixo")</f>
        <v>8.4499999999999993</v>
      </c>
      <c r="BU9" s="17" cm="1">
        <f t="array" aca="1" ref="BU9" ca="1">_FV(EC9,"Alto")</f>
        <v>8.66</v>
      </c>
      <c r="BV9" s="24"/>
      <c r="BW9" s="63">
        <f ca="1">SQRT(22.5*(BL9/VLOOKUP(BM9,Fundamentus!A:U,3,FALSE))*(BL9/VLOOKUP(BM9,Fundamentus!A:U,4,FALSE)))</f>
        <v>13.812751317622787</v>
      </c>
      <c r="BY9" s="62">
        <f t="shared" ca="1" si="24"/>
        <v>0</v>
      </c>
      <c r="BZ9" s="8"/>
      <c r="CA9" s="61">
        <f t="shared" si="25"/>
        <v>8.1199999999999992</v>
      </c>
      <c r="CB9" s="61">
        <f t="shared" si="26"/>
        <v>9.1999999999999993</v>
      </c>
      <c r="CC9" s="61">
        <f t="shared" si="27"/>
        <v>8.642777777777777</v>
      </c>
      <c r="CD9" s="14"/>
      <c r="CE9" s="35">
        <f t="shared" si="1"/>
        <v>8.3923739897871723</v>
      </c>
      <c r="CF9" s="15">
        <f t="shared" si="28"/>
        <v>8.5289999999999679</v>
      </c>
      <c r="CG9" s="35">
        <f t="shared" si="2"/>
        <v>8.6656260102127636</v>
      </c>
      <c r="CI9" s="14"/>
      <c r="CJ9" s="17">
        <f t="shared" si="3"/>
        <v>7.0200000000000014</v>
      </c>
      <c r="CK9" s="17">
        <f t="shared" si="4"/>
        <v>7.57</v>
      </c>
      <c r="CL9" s="17">
        <f t="shared" si="5"/>
        <v>8.1000000000000014</v>
      </c>
      <c r="CM9" s="38">
        <f t="shared" si="29"/>
        <v>8.65</v>
      </c>
      <c r="CN9" s="17">
        <f t="shared" si="6"/>
        <v>9.1800000000000015</v>
      </c>
      <c r="CO9" s="17">
        <f t="shared" si="7"/>
        <v>9.73</v>
      </c>
      <c r="CP9" s="17">
        <f t="shared" si="8"/>
        <v>10.260000000000002</v>
      </c>
      <c r="CQ9" s="2" cm="1">
        <f t="array" aca="1" ref="CQ9" ca="1">MAX(_xlfn._xlws.FILTER(CJ9:CP9,CJ9:CP9&lt;BL9))</f>
        <v>8.1000000000000014</v>
      </c>
      <c r="CR9" s="2" cm="1">
        <f t="array" aca="1" ref="CR9" ca="1">MIN(_xlfn._xlws.FILTER($CJ9:$CP9,$CJ9:$CP9&gt;BL9))</f>
        <v>8.65</v>
      </c>
      <c r="CS9" s="16">
        <f t="shared" ca="1" si="30"/>
        <v>6.7901234567901092E-2</v>
      </c>
      <c r="CT9" s="20">
        <f t="shared" ca="1" si="31"/>
        <v>-3.3950617283950546E-2</v>
      </c>
      <c r="CU9" s="20">
        <f t="shared" ca="1" si="32"/>
        <v>-2.2633744855967031E-2</v>
      </c>
      <c r="CV9" s="20">
        <f t="shared" ca="1" si="33"/>
        <v>-1.3580246913580219E-2</v>
      </c>
      <c r="CW9" s="20">
        <f t="shared" ca="1" si="34"/>
        <v>-7.5445816186556769E-3</v>
      </c>
      <c r="CX9" s="20">
        <f t="shared" ref="CX9:CX13" ca="1" si="40">-$CS9/17</f>
        <v>-3.9941902687000638E-3</v>
      </c>
      <c r="CY9" s="20">
        <f t="shared" ref="CY9:CY13" ca="1" si="41">-$CS9/33</f>
        <v>-2.0576131687242757E-3</v>
      </c>
      <c r="CZ9" s="20">
        <f t="shared" ref="CZ9:CZ13" ca="1" si="42">-$CS9/65</f>
        <v>-1.044634377967709E-3</v>
      </c>
      <c r="DA9" s="21">
        <f t="shared" ref="DA9:DA13" ca="1" si="43">-$CS9/65*-1</f>
        <v>1.044634377967709E-3</v>
      </c>
      <c r="DB9" s="21">
        <f t="shared" ref="DB9:DB13" ca="1" si="44">-$CS9/33*-1</f>
        <v>2.0576131687242757E-3</v>
      </c>
      <c r="DC9" s="21">
        <f t="shared" ref="DC9:DC13" ca="1" si="45">-$CS9/17*-1</f>
        <v>3.9941902687000638E-3</v>
      </c>
      <c r="DD9" s="21">
        <f t="shared" ca="1" si="35"/>
        <v>7.5445816186556769E-3</v>
      </c>
      <c r="DE9" s="21">
        <f t="shared" ca="1" si="36"/>
        <v>1.3580246913580219E-2</v>
      </c>
      <c r="DF9" s="21">
        <f t="shared" ca="1" si="37"/>
        <v>2.2633744855967031E-2</v>
      </c>
      <c r="DG9" s="21">
        <f t="shared" ca="1" si="38"/>
        <v>3.3950617283950546E-2</v>
      </c>
      <c r="DI9" s="16" cm="1">
        <f t="array" aca="1" ref="DI9" ca="1">MAX(_xlfn._xlws.FILTER(CT9:DG9,CT9:DG9&lt;BR9))</f>
        <v>3.9941902687000638E-3</v>
      </c>
      <c r="DJ9" s="16" cm="1">
        <f t="array" aca="1" ref="DJ9" ca="1">MIN(_xlfn._xlws.FILTER(CT9:DG9,CT9:DG9&gt;BR9))</f>
        <v>7.5445816186556769E-3</v>
      </c>
      <c r="DK9" s="2" cm="1">
        <f t="array" aca="1" ref="DK9" ca="1">_FV(EC9,"Fechamento anterior",TRUE)</f>
        <v>8.44</v>
      </c>
      <c r="DL9" s="28">
        <f t="shared" ca="1" si="15"/>
        <v>0.87731581214997445</v>
      </c>
      <c r="DM9" s="15">
        <f t="shared" ca="1" si="16"/>
        <v>8.4737109658678289</v>
      </c>
      <c r="DN9" s="15">
        <f t="shared" ca="1" si="17"/>
        <v>8.5036762688614527</v>
      </c>
      <c r="DO9" s="9"/>
      <c r="DP9" s="9"/>
      <c r="DQ9" s="9"/>
      <c r="DR9" s="89">
        <v>1.2107759055594745E-3</v>
      </c>
      <c r="DS9" s="89">
        <v>2.0035061357375375E-3</v>
      </c>
      <c r="DT9" s="89">
        <v>3.5503913499556131E-3</v>
      </c>
      <c r="DU9" s="89">
        <v>3.5503913499556131E-3</v>
      </c>
      <c r="DV9" s="89">
        <f t="shared" ca="1" si="18"/>
        <v>3.5503913499556131E-3</v>
      </c>
      <c r="DW9" s="72">
        <f t="shared" ca="1" si="19"/>
        <v>-0.21225826586606977</v>
      </c>
      <c r="DX9" s="37"/>
      <c r="DY9" s="35">
        <f t="shared" si="39"/>
        <v>6.8313005106397554E-2</v>
      </c>
      <c r="DZ9" s="56"/>
      <c r="EA9" s="56"/>
      <c r="EC9" s="2" t="e" vm="9">
        <v>#VALUE!</v>
      </c>
      <c r="EE9" s="10" cm="1">
        <f t="array" aca="1" ref="EE9" ca="1">_FV(EC9,"Ações em circulação",TRUE)</f>
        <v>315912900</v>
      </c>
      <c r="EF9" s="18">
        <f>VLOOKUP(BM9,Fundamentus!A:U,5,FALSE)</f>
        <v>0</v>
      </c>
      <c r="EG9" s="2" t="e">
        <f t="shared" ca="1" si="20"/>
        <v>#DIV/0!</v>
      </c>
      <c r="EH9" s="17" t="e">
        <v>#DIV/0!</v>
      </c>
      <c r="EI9" s="17" t="e">
        <f t="shared" ca="1" si="21"/>
        <v>#DIV/0!</v>
      </c>
      <c r="EK9" s="16" t="e">
        <f t="shared" ca="1" si="22"/>
        <v>#DIV/0!</v>
      </c>
      <c r="EL9" s="32" t="str">
        <f>IF(VLOOKUP(BM9,Fundamentus!A:U,3,FALSE)&lt;15,"Bom",IF(VLOOKUP(BM9,Fundamentus!A:U,3,FALSE)&gt;15,"Ruim","n/a"))</f>
        <v>Bom</v>
      </c>
      <c r="EM9" s="28" t="str">
        <f>IF(VLOOKUP(BM9,Fundamentus!A:U,4,FALSE)&lt;1,"Baixo",IF(VLOOKUP(BM9,Fundamentus!A:U,4,FALSE)&lt;1.5,"Moderado",IF(VLOOKUP(BM9,Fundamentus!A:U,4,FALSE)&gt;1.5,"Alto","n/a")))</f>
        <v>Moderado</v>
      </c>
      <c r="EN9" s="17" t="str">
        <f>IF(VLOOKUP(BM9,Fundamentus!A:U,8,FALSE)&lt;0,"Risco elevado",IF(VLOOKUP(BM9,Fundamentus!A:U,8,FALSE)&lt;1,"Saudável",IF(VLOOKUP(BM9,Fundamentus!A:U,8,FALSE)&lt;3,"Estável",IF(VLOOKUP(BM9,Fundamentus!A:U,8,FALSE)&gt;3,"Alerta","n/a"))))</f>
        <v>Saudável</v>
      </c>
      <c r="EO9" s="28" t="str">
        <f t="shared" si="23"/>
        <v>Ruim</v>
      </c>
      <c r="EP9" s="17" t="str">
        <f>IF(VLOOKUP(BM9,Fundamentus!A:U,12,FALSE)&lt;2,"Subvalorizada",IF(VLOOKUP(BM9,Fundamentus!A:U,12,FALSE)&lt;6,"Muita barata",IF(VLOOKUP(BM9,Fundamentus!A:U,12,FALSE)&lt;6,"Barata",IF(VLOOKUP(BM9,Fundamentus!A:U,12,FALSE)&lt;8,"Atrativa",IF(VLOOKUP(BM9,Fundamentus!A:U,12,FALSE)&gt;8,"Supervalorizada","n/a")))))</f>
        <v>Subvalorizada</v>
      </c>
      <c r="ER9" s="17" t="str">
        <f>IF(VLOOKUP(BM9,Fundamentus!A:U,17,FALSE)&lt;0.1,"Fraco retorno",IF(VLOOKUP(BM9,Fundamentus!A:U,17,FALSE)&gt;0.1,"Bom retorno","n/a"))</f>
        <v>Bom retorno</v>
      </c>
      <c r="ES9" s="17" t="str">
        <f>IF(VLOOKUP(BM9,Fundamentus!A:U,16,FALSE)&lt;0.1,"Ineficiente",IF(VLOOKUP(BM9,Fundamentus!A:U,16,FALSE)&gt;0.1,"Eficiente","n/a"))</f>
        <v>Ineficiente</v>
      </c>
      <c r="ET9" s="33" t="str">
        <f>IF(VLOOKUP(BM9,Fundamentus!A:U,16,FALSE)&lt;0.1,"Oper. Ineficiente",IF(VLOOKUP(BM9,Fundamentus!A:U,16,FALSE)&gt;0.1,"Oper.Eficiente","n/a"))</f>
        <v>Oper. Ineficiente</v>
      </c>
      <c r="EU9" s="34">
        <f>VLOOKUP(BM9,Fundamentus!A:U,14,FALSE)</f>
        <v>0</v>
      </c>
      <c r="EV9" s="17" t="str">
        <f>IF(VLOOKUP(BM9,Fundamentus!A:U,21,FALSE)&lt;0,"Negativo",IF(VLOOKUP(BM9,Fundamentus!A:U,21,FALSE)&lt;0.05,"Fraco",IF(VLOOKUP(BM9,Fundamentus!A:U,21,FALSE)&lt;0.1,"Bom",IF(VLOOKUP(BM9,Fundamentus!A:U,21,FALSE)&gt;0.1,"Muito bom","n/a"))))</f>
        <v>Muito bom</v>
      </c>
      <c r="EX9" s="29" t="str">
        <f>IF(VLOOKUP(BM9,Fundamentus!A:U,15,FALSE)&gt;1,"Bom",IF(VLOOKUP(BM9,Fundamentus!A:U,15,FALSE)&lt;1,"Ruim","n/a"))</f>
        <v>Ruim</v>
      </c>
      <c r="EY9" s="17" t="str">
        <f>IF(VLOOKUP(BM9,Fundamentus!A:U,20,FALSE)&lt;0.5,"Baixa",IF(VLOOKUP(BM9,Fundamentus!A:U,20,FALSE)&lt;1,"Moderada",IF(VLOOKUP(BM9,Fundamentus!A:U,20,FALSE)&lt;2,"Alerta",IF(VLOOKUP(BM9,Fundamentus!A:U,20,FALSE)&gt;2,"Alta","n/a"))))</f>
        <v>Baixa</v>
      </c>
    </row>
    <row r="10" spans="1:155" s="2" customFormat="1" ht="11.25" x14ac:dyDescent="0.2">
      <c r="A10" s="4">
        <v>12.37</v>
      </c>
      <c r="B10" s="4">
        <v>12.05</v>
      </c>
      <c r="C10" s="4">
        <v>12.38</v>
      </c>
      <c r="D10" s="4">
        <v>11.87</v>
      </c>
      <c r="E10" s="4">
        <v>11.59</v>
      </c>
      <c r="F10" s="4">
        <v>11.56</v>
      </c>
      <c r="G10" s="4">
        <v>11.24</v>
      </c>
      <c r="H10" s="4">
        <v>11.28</v>
      </c>
      <c r="I10" s="4">
        <v>11.41</v>
      </c>
      <c r="J10" s="4">
        <v>11.32</v>
      </c>
      <c r="K10" s="4">
        <v>11.64</v>
      </c>
      <c r="L10" s="4">
        <v>11.73</v>
      </c>
      <c r="M10" s="4">
        <v>11.88</v>
      </c>
      <c r="N10" s="4">
        <v>11.87</v>
      </c>
      <c r="O10" s="4">
        <v>12.45</v>
      </c>
      <c r="P10" s="4">
        <v>12.89</v>
      </c>
      <c r="Q10" s="4">
        <v>13.08</v>
      </c>
      <c r="R10" s="4">
        <v>12.86</v>
      </c>
      <c r="S10" s="4">
        <v>12.99</v>
      </c>
      <c r="T10" s="4">
        <v>12.73</v>
      </c>
      <c r="U10" s="4">
        <v>12.76</v>
      </c>
      <c r="V10" s="4">
        <v>12.92</v>
      </c>
      <c r="W10" s="4">
        <v>13.28</v>
      </c>
      <c r="X10" s="4">
        <v>12.88</v>
      </c>
      <c r="Y10" s="4">
        <v>12.77</v>
      </c>
      <c r="Z10" s="4">
        <v>12.75</v>
      </c>
      <c r="AA10" s="4">
        <v>12.54</v>
      </c>
      <c r="AB10" s="4">
        <v>12.33</v>
      </c>
      <c r="AC10" s="4">
        <v>12.64</v>
      </c>
      <c r="AD10" s="4">
        <v>12.68</v>
      </c>
      <c r="AE10" s="4">
        <v>12.68</v>
      </c>
      <c r="AF10" s="4">
        <v>14.22</v>
      </c>
      <c r="AG10" s="4">
        <v>13.08</v>
      </c>
      <c r="AH10" s="4">
        <v>12.22</v>
      </c>
      <c r="AI10" s="4">
        <v>12.07</v>
      </c>
      <c r="AJ10" s="4">
        <v>11.33</v>
      </c>
      <c r="AK10" s="4">
        <v>11.16</v>
      </c>
      <c r="AL10" s="4">
        <v>11.09</v>
      </c>
      <c r="AM10" s="4">
        <v>10.87</v>
      </c>
      <c r="AN10" s="4">
        <v>11.1</v>
      </c>
      <c r="AO10" s="4">
        <v>10.85</v>
      </c>
      <c r="AP10" s="4">
        <v>11.13</v>
      </c>
      <c r="AQ10" s="4">
        <v>11.12</v>
      </c>
      <c r="AR10" s="4">
        <v>12.22</v>
      </c>
      <c r="AS10" s="4">
        <v>13.1</v>
      </c>
      <c r="AT10" s="4">
        <v>13.64</v>
      </c>
      <c r="AU10" s="4">
        <v>13.664999999999999</v>
      </c>
      <c r="AV10" s="4">
        <v>13.43</v>
      </c>
      <c r="AW10" s="4">
        <v>13.71</v>
      </c>
      <c r="AX10" s="4">
        <v>13.48</v>
      </c>
      <c r="AY10" s="12">
        <v>14</v>
      </c>
      <c r="AZ10" s="12">
        <v>14.09</v>
      </c>
      <c r="BA10" s="12">
        <v>14.57</v>
      </c>
      <c r="BB10" s="15">
        <v>14.37</v>
      </c>
      <c r="BC10" s="52">
        <v>14.41</v>
      </c>
      <c r="BD10" s="52">
        <v>14.24</v>
      </c>
      <c r="BE10" s="52">
        <v>14.03</v>
      </c>
      <c r="BF10" s="52">
        <v>14.08</v>
      </c>
      <c r="BG10" s="67">
        <v>13.64</v>
      </c>
      <c r="BH10" s="52">
        <v>13.53</v>
      </c>
      <c r="BI10" s="52">
        <v>13.15</v>
      </c>
      <c r="BJ10" s="52">
        <v>13.52</v>
      </c>
      <c r="BK10" s="52">
        <v>13.3</v>
      </c>
      <c r="BL10" s="52" cm="1">
        <f t="array" aca="1" ref="BL10" ca="1">_FV(EC10,"Preço")</f>
        <v>13.3</v>
      </c>
      <c r="BM10" s="69" t="s">
        <v>7</v>
      </c>
      <c r="BN10" s="36" cm="1">
        <f t="array" aca="1" ref="BN10" ca="1">_FV(EC10,"Média de volume",TRUE)</f>
        <v>26641950</v>
      </c>
      <c r="BO10" s="36">
        <v>40755100</v>
      </c>
      <c r="BP10" s="36" cm="1">
        <f t="array" aca="1" ref="BP10" ca="1">_FV(EC10,"Volume")</f>
        <v>40755100</v>
      </c>
      <c r="BQ10" s="24" cm="1">
        <f t="array" aca="1" ref="BQ10" ca="1">_FV(EC10,"Beta")</f>
        <v>0.69259999999999999</v>
      </c>
      <c r="BR10" s="71" cm="1">
        <f t="array" aca="1" ref="BR10" ca="1">_FV(EC10,"Variação (%)",TRUE)</f>
        <v>5.2910000000000006E-3</v>
      </c>
      <c r="BT10" s="17" cm="1">
        <f t="array" aca="1" ref="BT10" ca="1">_FV(EC10,"Baixo")</f>
        <v>13.08</v>
      </c>
      <c r="BU10" s="17" cm="1">
        <f t="array" aca="1" ref="BU10" ca="1">_FV(EC10,"Alto")</f>
        <v>13.38</v>
      </c>
      <c r="BV10" s="24"/>
      <c r="BW10" s="63">
        <f ca="1">SQRT(22.5*(BL10/VLOOKUP(BM10,Fundamentus!A:U,3,FALSE))*(BL10/VLOOKUP(BM10,Fundamentus!A:U,4,FALSE)))</f>
        <v>10.847679298943287</v>
      </c>
      <c r="BY10" s="62">
        <f t="shared" ca="1" si="24"/>
        <v>0</v>
      </c>
      <c r="BZ10" s="8"/>
      <c r="CA10" s="61">
        <f t="shared" si="25"/>
        <v>10.85</v>
      </c>
      <c r="CB10" s="61">
        <f t="shared" si="26"/>
        <v>14.57</v>
      </c>
      <c r="CC10" s="61">
        <f t="shared" si="27"/>
        <v>12.632301587301587</v>
      </c>
      <c r="CD10" s="14"/>
      <c r="CE10" s="35">
        <f t="shared" si="1"/>
        <v>12.774914770298421</v>
      </c>
      <c r="CF10" s="15">
        <f t="shared" si="28"/>
        <v>13.359000000000009</v>
      </c>
      <c r="CG10" s="35">
        <f t="shared" si="2"/>
        <v>13.943085229701596</v>
      </c>
      <c r="CI10" s="14"/>
      <c r="CJ10" s="17">
        <f t="shared" si="3"/>
        <v>7.6699999999999964</v>
      </c>
      <c r="CK10" s="17">
        <f t="shared" si="4"/>
        <v>9.259999999999998</v>
      </c>
      <c r="CL10" s="17">
        <f t="shared" si="5"/>
        <v>11.389999999999997</v>
      </c>
      <c r="CM10" s="38">
        <f t="shared" si="29"/>
        <v>12.979999999999999</v>
      </c>
      <c r="CN10" s="17">
        <f t="shared" si="6"/>
        <v>15.109999999999998</v>
      </c>
      <c r="CO10" s="17">
        <f t="shared" si="7"/>
        <v>16.7</v>
      </c>
      <c r="CP10" s="17">
        <f t="shared" si="8"/>
        <v>18.829999999999998</v>
      </c>
      <c r="CQ10" s="2" cm="1">
        <f t="array" aca="1" ref="CQ10" ca="1">MAX(_xlfn._xlws.FILTER(CJ10:CP10,CJ10:CP10&lt;BL10))</f>
        <v>12.979999999999999</v>
      </c>
      <c r="CR10" s="2" cm="1">
        <f t="array" aca="1" ref="CR10" ca="1">MIN(_xlfn._xlws.FILTER($CJ10:$CP10,$CJ10:$CP10&gt;BL10))</f>
        <v>15.109999999999998</v>
      </c>
      <c r="CS10" s="16">
        <f t="shared" ca="1" si="30"/>
        <v>0.16409861325115549</v>
      </c>
      <c r="CT10" s="20">
        <f t="shared" ca="1" si="31"/>
        <v>-8.2049306625577745E-2</v>
      </c>
      <c r="CU10" s="20">
        <f t="shared" ca="1" si="32"/>
        <v>-5.4699537750385163E-2</v>
      </c>
      <c r="CV10" s="20">
        <f t="shared" ca="1" si="33"/>
        <v>-3.2819722650231101E-2</v>
      </c>
      <c r="CW10" s="20">
        <f t="shared" ca="1" si="34"/>
        <v>-1.8233179250128389E-2</v>
      </c>
      <c r="CX10" s="20">
        <f t="shared" ca="1" si="40"/>
        <v>-9.6528596030091458E-3</v>
      </c>
      <c r="CY10" s="20">
        <f t="shared" ca="1" si="41"/>
        <v>-4.9726852500350145E-3</v>
      </c>
      <c r="CZ10" s="20">
        <f t="shared" ca="1" si="42"/>
        <v>-2.5245940500177766E-3</v>
      </c>
      <c r="DA10" s="21">
        <f t="shared" ca="1" si="43"/>
        <v>2.5245940500177766E-3</v>
      </c>
      <c r="DB10" s="21">
        <f t="shared" ca="1" si="44"/>
        <v>4.9726852500350145E-3</v>
      </c>
      <c r="DC10" s="21">
        <f t="shared" ca="1" si="45"/>
        <v>9.6528596030091458E-3</v>
      </c>
      <c r="DD10" s="21">
        <f t="shared" ca="1" si="35"/>
        <v>1.8233179250128389E-2</v>
      </c>
      <c r="DE10" s="21">
        <f t="shared" ca="1" si="36"/>
        <v>3.2819722650231101E-2</v>
      </c>
      <c r="DF10" s="21">
        <f t="shared" ca="1" si="37"/>
        <v>5.4699537750385163E-2</v>
      </c>
      <c r="DG10" s="21">
        <f t="shared" ca="1" si="38"/>
        <v>8.2049306625577745E-2</v>
      </c>
      <c r="DI10" s="16" cm="1">
        <f t="array" aca="1" ref="DI10" ca="1">MAX(_xlfn._xlws.FILTER(CT10:DG10,CT10:DG10&lt;BR10))</f>
        <v>4.9726852500350145E-3</v>
      </c>
      <c r="DJ10" s="16" cm="1">
        <f t="array" aca="1" ref="DJ10" ca="1">MIN(_xlfn._xlws.FILTER(CT10:DG10,CT10:DG10&gt;BR10))</f>
        <v>9.6528596030091458E-3</v>
      </c>
      <c r="DK10" s="2" cm="1">
        <f t="array" aca="1" ref="DK10" ca="1">_FV(EC10,"Fechamento anterior",TRUE)</f>
        <v>13.23</v>
      </c>
      <c r="DL10" s="28">
        <f t="shared" ca="1" si="15"/>
        <v>6.8014568894843988E-2</v>
      </c>
      <c r="DM10" s="15">
        <f t="shared" ca="1" si="16"/>
        <v>13.295788625857965</v>
      </c>
      <c r="DN10" s="15">
        <f t="shared" ca="1" si="17"/>
        <v>13.357707332547811</v>
      </c>
      <c r="DO10" s="9"/>
      <c r="DP10" s="9"/>
      <c r="DQ10" s="9"/>
      <c r="DR10" s="89">
        <v>7.2502494867577455E-3</v>
      </c>
      <c r="DS10" s="89">
        <v>8.7145969498910719E-3</v>
      </c>
      <c r="DT10" s="89">
        <v>2.4480912000172379E-3</v>
      </c>
      <c r="DU10" s="89">
        <v>4.6801743529741313E-3</v>
      </c>
      <c r="DV10" s="89">
        <f t="shared" ca="1" si="18"/>
        <v>4.6801743529741313E-3</v>
      </c>
      <c r="DW10" s="72">
        <f t="shared" ca="1" si="19"/>
        <v>-0.10101265534509681</v>
      </c>
      <c r="DX10" s="37"/>
      <c r="DY10" s="35">
        <f t="shared" si="39"/>
        <v>0.29204261485079336</v>
      </c>
      <c r="DZ10" s="56"/>
      <c r="EA10" s="56"/>
      <c r="EC10" s="2" t="e" vm="10">
        <v>#VALUE!</v>
      </c>
      <c r="EE10" s="10" cm="1">
        <f t="array" aca="1" ref="EE10" ca="1">_FV(EC10,"Ações em circulação",TRUE)</f>
        <v>15761640000</v>
      </c>
      <c r="EF10" s="18">
        <f>VLOOKUP(BM10,Fundamentus!A:U,5,FALSE)</f>
        <v>2.3450000000000002</v>
      </c>
      <c r="EG10" s="2">
        <f t="shared" ca="1" si="20"/>
        <v>89394376119.402985</v>
      </c>
      <c r="EH10" s="17">
        <v>14481888931.343285</v>
      </c>
      <c r="EI10" s="17">
        <f t="shared" ca="1" si="21"/>
        <v>14481888931.343285</v>
      </c>
      <c r="EK10" s="16">
        <f t="shared" ca="1" si="22"/>
        <v>0</v>
      </c>
      <c r="EL10" s="32" t="str">
        <f>IF(VLOOKUP(BM10,Fundamentus!A:U,3,FALSE)&lt;15,"Bom",IF(VLOOKUP(BM10,Fundamentus!A:U,3,FALSE)&gt;15,"Ruim","n/a"))</f>
        <v>Bom</v>
      </c>
      <c r="EM10" s="28" t="str">
        <f>IF(VLOOKUP(BM10,Fundamentus!A:U,4,FALSE)&lt;1,"Baixo",IF(VLOOKUP(BM10,Fundamentus!A:U,4,FALSE)&lt;1.5,"Moderado",IF(VLOOKUP(BM10,Fundamentus!A:U,4,FALSE)&gt;1.5,"Alto","n/a")))</f>
        <v>Alto</v>
      </c>
      <c r="EN10" s="17" t="str">
        <f>IF(VLOOKUP(BM10,Fundamentus!A:U,8,FALSE)&lt;0,"Risco elevado",IF(VLOOKUP(BM10,Fundamentus!A:U,8,FALSE)&lt;1,"Saudável",IF(VLOOKUP(BM10,Fundamentus!A:U,8,FALSE)&lt;3,"Estável",IF(VLOOKUP(BM10,Fundamentus!A:U,8,FALSE)&gt;3,"Alerta","n/a"))))</f>
        <v>Alerta</v>
      </c>
      <c r="EO10" s="28" t="str">
        <f t="shared" si="23"/>
        <v>Bom</v>
      </c>
      <c r="EP10" s="17" t="str">
        <f>IF(VLOOKUP(BM10,Fundamentus!A:U,12,FALSE)&lt;2,"Subvalorizada",IF(VLOOKUP(BM10,Fundamentus!A:U,12,FALSE)&lt;6,"Muita barata",IF(VLOOKUP(BM10,Fundamentus!A:U,12,FALSE)&lt;6,"Barata",IF(VLOOKUP(BM10,Fundamentus!A:U,12,FALSE)&lt;8,"Atrativa",IF(VLOOKUP(BM10,Fundamentus!A:U,12,FALSE)&gt;8,"Supervalorizada","n/a")))))</f>
        <v>Atrativa</v>
      </c>
      <c r="ER10" s="17" t="str">
        <f>IF(VLOOKUP(BM10,Fundamentus!A:U,17,FALSE)&lt;0.1,"Fraco retorno",IF(VLOOKUP(BM10,Fundamentus!A:U,17,FALSE)&gt;0.1,"Bom retorno","n/a"))</f>
        <v>Bom retorno</v>
      </c>
      <c r="ES10" s="17" t="str">
        <f>IF(VLOOKUP(BM10,Fundamentus!A:U,16,FALSE)&lt;0.1,"Ineficiente",IF(VLOOKUP(BM10,Fundamentus!A:U,16,FALSE)&gt;0.1,"Eficiente","n/a"))</f>
        <v>Eficiente</v>
      </c>
      <c r="ET10" s="33" t="str">
        <f>IF(VLOOKUP(BM10,Fundamentus!A:U,16,FALSE)&lt;0.1,"Oper. Ineficiente",IF(VLOOKUP(BM10,Fundamentus!A:U,16,FALSE)&gt;0.1,"Oper.Eficiente","n/a"))</f>
        <v>Oper.Eficiente</v>
      </c>
      <c r="EU10" s="34">
        <f>VLOOKUP(BM10,Fundamentus!A:U,14,FALSE)</f>
        <v>0.16200000000000001</v>
      </c>
      <c r="EV10" s="17" t="str">
        <f>IF(VLOOKUP(BM10,Fundamentus!A:U,21,FALSE)&lt;0,"Negativo",IF(VLOOKUP(BM10,Fundamentus!A:U,21,FALSE)&lt;0.05,"Fraco",IF(VLOOKUP(BM10,Fundamentus!A:U,21,FALSE)&lt;0.1,"Bom",IF(VLOOKUP(BM10,Fundamentus!A:U,21,FALSE)&gt;0.1,"Muito bom","n/a"))))</f>
        <v>Bom</v>
      </c>
      <c r="EX10" s="29" t="str">
        <f>IF(VLOOKUP(BM10,Fundamentus!A:U,15,FALSE)&gt;1,"Bom",IF(VLOOKUP(BM10,Fundamentus!A:U,15,FALSE)&lt;1,"Ruim","n/a"))</f>
        <v>Bom</v>
      </c>
      <c r="EY10" s="17" t="str">
        <f>IF(VLOOKUP(BM10,Fundamentus!A:U,20,FALSE)&lt;0.5,"Baixa",IF(VLOOKUP(BM10,Fundamentus!A:U,20,FALSE)&lt;1,"Moderada",IF(VLOOKUP(BM10,Fundamentus!A:U,20,FALSE)&lt;2,"Alerta",IF(VLOOKUP(BM10,Fundamentus!A:U,20,FALSE)&gt;2,"Alta","n/a"))))</f>
        <v>Baixa</v>
      </c>
    </row>
    <row r="11" spans="1:155" s="2" customFormat="1" ht="11.25" x14ac:dyDescent="0.2">
      <c r="A11" s="4">
        <v>2.0099999999999998</v>
      </c>
      <c r="B11" s="4">
        <v>2.13</v>
      </c>
      <c r="C11" s="4">
        <v>2.12</v>
      </c>
      <c r="D11" s="4">
        <v>2.52</v>
      </c>
      <c r="E11" s="4">
        <v>2.95</v>
      </c>
      <c r="F11" s="4">
        <v>2.25</v>
      </c>
      <c r="G11" s="4">
        <v>2.2799999999999998</v>
      </c>
      <c r="H11" s="4">
        <v>2.36</v>
      </c>
      <c r="I11" s="4">
        <v>2.56</v>
      </c>
      <c r="J11" s="4">
        <v>2.73</v>
      </c>
      <c r="K11" s="4">
        <v>2.64</v>
      </c>
      <c r="L11" s="4">
        <v>2.96</v>
      </c>
      <c r="M11" s="4">
        <v>3.01</v>
      </c>
      <c r="N11" s="4">
        <v>2.8</v>
      </c>
      <c r="O11" s="4">
        <v>2.73</v>
      </c>
      <c r="P11" s="4">
        <v>2.73</v>
      </c>
      <c r="Q11" s="4">
        <v>2.73</v>
      </c>
      <c r="R11" s="4">
        <v>3.05</v>
      </c>
      <c r="S11" s="4">
        <v>3.15</v>
      </c>
      <c r="T11" s="4">
        <v>2.98</v>
      </c>
      <c r="U11" s="4">
        <v>2.92</v>
      </c>
      <c r="V11" s="4">
        <v>3.03</v>
      </c>
      <c r="W11" s="4">
        <v>3.12</v>
      </c>
      <c r="X11" s="4">
        <v>3.02</v>
      </c>
      <c r="Y11" s="4">
        <v>2.91</v>
      </c>
      <c r="Z11" s="4">
        <v>2.96</v>
      </c>
      <c r="AA11" s="4">
        <v>2.95</v>
      </c>
      <c r="AB11" s="4">
        <v>2.69</v>
      </c>
      <c r="AC11" s="4">
        <v>2.4900000000000002</v>
      </c>
      <c r="AD11" s="4">
        <v>2.6</v>
      </c>
      <c r="AE11" s="4">
        <v>2.69</v>
      </c>
      <c r="AF11" s="4">
        <v>2.64</v>
      </c>
      <c r="AG11" s="4">
        <v>2.56</v>
      </c>
      <c r="AH11" s="4">
        <v>2.69</v>
      </c>
      <c r="AI11" s="4">
        <v>2.56</v>
      </c>
      <c r="AJ11" s="4">
        <v>2.79</v>
      </c>
      <c r="AK11" s="4">
        <v>2.72</v>
      </c>
      <c r="AL11" s="4">
        <v>2.85</v>
      </c>
      <c r="AM11" s="4">
        <v>2.88</v>
      </c>
      <c r="AN11" s="4">
        <v>2.93</v>
      </c>
      <c r="AO11" s="4">
        <v>2.85</v>
      </c>
      <c r="AP11" s="4">
        <v>2.92</v>
      </c>
      <c r="AQ11" s="4">
        <v>2.87</v>
      </c>
      <c r="AR11" s="4">
        <v>2.9</v>
      </c>
      <c r="AS11" s="4">
        <v>2.89</v>
      </c>
      <c r="AT11" s="4">
        <v>2.88</v>
      </c>
      <c r="AU11" s="4">
        <v>2.8849999999999998</v>
      </c>
      <c r="AV11" s="4">
        <v>2.91</v>
      </c>
      <c r="AW11" s="4">
        <v>2.78</v>
      </c>
      <c r="AX11" s="4">
        <v>2.75</v>
      </c>
      <c r="AY11" s="12">
        <v>2.89</v>
      </c>
      <c r="AZ11" s="12">
        <v>2.9</v>
      </c>
      <c r="BA11" s="12">
        <v>2.82</v>
      </c>
      <c r="BB11" s="15">
        <v>2.81</v>
      </c>
      <c r="BC11" s="52">
        <v>2.82</v>
      </c>
      <c r="BD11" s="52">
        <v>2.88</v>
      </c>
      <c r="BE11" s="52">
        <v>2.98</v>
      </c>
      <c r="BF11" s="52">
        <v>2.9</v>
      </c>
      <c r="BG11" s="67">
        <v>2.88</v>
      </c>
      <c r="BH11" s="52">
        <v>2.91</v>
      </c>
      <c r="BI11" s="52">
        <v>2.9</v>
      </c>
      <c r="BJ11" s="52">
        <v>2.96</v>
      </c>
      <c r="BK11" s="52">
        <v>2.9</v>
      </c>
      <c r="BL11" s="52" cm="1">
        <f t="array" aca="1" ref="BL11" ca="1">_FV(EC11,"Preço")</f>
        <v>2.9</v>
      </c>
      <c r="BM11" s="69" t="s">
        <v>8</v>
      </c>
      <c r="BN11" s="36" cm="1">
        <f t="array" aca="1" ref="BN11" ca="1">_FV(EC11,"Média de volume",TRUE)</f>
        <v>1830</v>
      </c>
      <c r="BO11" s="36">
        <v>500</v>
      </c>
      <c r="BP11" s="36" cm="1">
        <f t="array" aca="1" ref="BP11" ca="1">_FV(EC11,"Volume")</f>
        <v>500</v>
      </c>
      <c r="BQ11" s="24" cm="1">
        <f t="array" aca="1" ref="BQ11" ca="1">_FV(EC11,"Beta")</f>
        <v>0.83540000000000003</v>
      </c>
      <c r="BR11" s="71" cm="1">
        <f t="array" aca="1" ref="BR11" ca="1">_FV(EC11,"Variação (%)",TRUE)</f>
        <v>-3.4360000000000003E-3</v>
      </c>
      <c r="BT11" s="17" cm="1">
        <f t="array" aca="1" ref="BT11" ca="1">_FV(EC11,"Baixo")</f>
        <v>2.9</v>
      </c>
      <c r="BU11" s="17" cm="1">
        <f t="array" aca="1" ref="BU11" ca="1">_FV(EC11,"Alto")</f>
        <v>2.9</v>
      </c>
      <c r="BV11" s="24"/>
      <c r="BW11" s="63">
        <f ca="1">SQRT(22.5*(BL11/VLOOKUP(BM11,Fundamentus!A:U,3,FALSE))*(BL11/VLOOKUP(BM11,Fundamentus!A:U,4,FALSE)))</f>
        <v>205.06096654409879</v>
      </c>
      <c r="BY11" s="62">
        <f t="shared" ca="1" si="24"/>
        <v>0</v>
      </c>
      <c r="BZ11" s="8"/>
      <c r="CA11" s="61">
        <f t="shared" si="25"/>
        <v>2.0099999999999998</v>
      </c>
      <c r="CB11" s="61">
        <f t="shared" si="26"/>
        <v>3.15</v>
      </c>
      <c r="CC11" s="61">
        <f t="shared" si="27"/>
        <v>2.7757936507936498</v>
      </c>
      <c r="CD11" s="14"/>
      <c r="CE11" s="35">
        <f t="shared" si="1"/>
        <v>2.8694464375089388</v>
      </c>
      <c r="CF11" s="15">
        <f t="shared" si="28"/>
        <v>2.9190000000000005</v>
      </c>
      <c r="CG11" s="35">
        <f t="shared" si="2"/>
        <v>2.9685535624910622</v>
      </c>
      <c r="CI11" s="14"/>
      <c r="CJ11" s="17">
        <f t="shared" si="3"/>
        <v>1.123333333333334</v>
      </c>
      <c r="CK11" s="17">
        <f t="shared" si="4"/>
        <v>1.5666666666666669</v>
      </c>
      <c r="CL11" s="17">
        <f t="shared" si="5"/>
        <v>2.2633333333333341</v>
      </c>
      <c r="CM11" s="38">
        <f t="shared" si="29"/>
        <v>2.706666666666667</v>
      </c>
      <c r="CN11" s="17">
        <f t="shared" si="6"/>
        <v>3.4033333333333342</v>
      </c>
      <c r="CO11" s="17">
        <f t="shared" si="7"/>
        <v>3.8466666666666671</v>
      </c>
      <c r="CP11" s="17">
        <f t="shared" si="8"/>
        <v>4.5433333333333348</v>
      </c>
      <c r="CQ11" s="2" cm="1">
        <f t="array" aca="1" ref="CQ11" ca="1">MAX(_xlfn._xlws.FILTER(CJ11:CP11,CJ11:CP11&lt;BL11))</f>
        <v>2.706666666666667</v>
      </c>
      <c r="CR11" s="2" cm="1">
        <f t="array" aca="1" ref="CR11" ca="1">MIN(_xlfn._xlws.FILTER($CJ11:$CP11,$CJ11:$CP11&gt;BL11))</f>
        <v>3.4033333333333342</v>
      </c>
      <c r="CS11" s="16">
        <f t="shared" ca="1" si="30"/>
        <v>0.25738916256157651</v>
      </c>
      <c r="CT11" s="20">
        <f t="shared" ca="1" si="31"/>
        <v>-0.12869458128078826</v>
      </c>
      <c r="CU11" s="20">
        <f t="shared" ca="1" si="32"/>
        <v>-8.5796387520525499E-2</v>
      </c>
      <c r="CV11" s="20">
        <f t="shared" ca="1" si="33"/>
        <v>-5.1477832512315302E-2</v>
      </c>
      <c r="CW11" s="20">
        <f t="shared" ca="1" si="34"/>
        <v>-2.8598795840175169E-2</v>
      </c>
      <c r="CX11" s="20">
        <f t="shared" ca="1" si="40"/>
        <v>-1.5140538974210383E-2</v>
      </c>
      <c r="CY11" s="20">
        <f t="shared" ca="1" si="41"/>
        <v>-7.7996715927750454E-3</v>
      </c>
      <c r="CZ11" s="20">
        <f t="shared" ca="1" si="42"/>
        <v>-3.9598332701780998E-3</v>
      </c>
      <c r="DA11" s="21">
        <f t="shared" ca="1" si="43"/>
        <v>3.9598332701780998E-3</v>
      </c>
      <c r="DB11" s="21">
        <f t="shared" ca="1" si="44"/>
        <v>7.7996715927750454E-3</v>
      </c>
      <c r="DC11" s="21">
        <f t="shared" ca="1" si="45"/>
        <v>1.5140538974210383E-2</v>
      </c>
      <c r="DD11" s="21">
        <f t="shared" ca="1" si="35"/>
        <v>2.8598795840175169E-2</v>
      </c>
      <c r="DE11" s="21">
        <f t="shared" ca="1" si="36"/>
        <v>5.1477832512315302E-2</v>
      </c>
      <c r="DF11" s="21">
        <f t="shared" ca="1" si="37"/>
        <v>8.5796387520525499E-2</v>
      </c>
      <c r="DG11" s="21">
        <f t="shared" ca="1" si="38"/>
        <v>0.12869458128078826</v>
      </c>
      <c r="DI11" s="16" cm="1">
        <f t="array" aca="1" ref="DI11" ca="1">MAX(_xlfn._xlws.FILTER(CT11:DG11,CT11:DG11&lt;BR11))</f>
        <v>-3.9598332701780998E-3</v>
      </c>
      <c r="DJ11" s="16" cm="1">
        <f t="array" aca="1" ref="DJ11" ca="1">MIN(_xlfn._xlws.FILTER(CT11:DG11,CT11:DG11&gt;BR11))</f>
        <v>3.9598332701780998E-3</v>
      </c>
      <c r="DK11" s="2" cm="1">
        <f t="array" aca="1" ref="DK11" ca="1">_FV(EC11,"Fechamento anterior",TRUE)</f>
        <v>2.91</v>
      </c>
      <c r="DL11" s="28">
        <f t="shared" ca="1" si="15"/>
        <v>6.608954438579033E-2</v>
      </c>
      <c r="DM11" s="15">
        <f t="shared" ca="1" si="16"/>
        <v>2.8984768851837819</v>
      </c>
      <c r="DN11" s="15">
        <f t="shared" ca="1" si="17"/>
        <v>2.9215231148162184</v>
      </c>
      <c r="DO11" s="9"/>
      <c r="DP11" s="9"/>
      <c r="DQ11" s="9"/>
      <c r="DR11" s="89">
        <v>8.4420994168286564E-3</v>
      </c>
      <c r="DS11" s="89">
        <v>2.2222222222222227E-2</v>
      </c>
      <c r="DT11" s="89">
        <v>1.3458256865964786E-2</v>
      </c>
      <c r="DU11" s="89">
        <v>7.9196665403561996E-3</v>
      </c>
      <c r="DV11" s="89">
        <f t="shared" ca="1" si="18"/>
        <v>7.9196665403561996E-3</v>
      </c>
      <c r="DW11" s="72">
        <f t="shared" ca="1" si="19"/>
        <v>-0.38342349257790964</v>
      </c>
      <c r="DX11" s="37"/>
      <c r="DY11" s="35">
        <f t="shared" si="39"/>
        <v>2.4776781245530868E-2</v>
      </c>
      <c r="DZ11" s="56"/>
      <c r="EA11" s="56"/>
      <c r="EC11" s="2" t="e" vm="11">
        <v>#VALUE!</v>
      </c>
      <c r="EE11" s="10" cm="1">
        <f t="array" aca="1" ref="EE11" ca="1">_FV(EC11,"Ações em circulação",TRUE)</f>
        <v>67691630</v>
      </c>
      <c r="EF11" s="18">
        <f>VLOOKUP(BM11,Fundamentus!A:U,5,FALSE)</f>
        <v>2.5999999999999999E-2</v>
      </c>
      <c r="EG11" s="2">
        <f t="shared" ca="1" si="20"/>
        <v>7550220269.2307692</v>
      </c>
      <c r="EH11" s="17">
        <v>-1333368899.5461538</v>
      </c>
      <c r="EI11" s="17">
        <f t="shared" ca="1" si="21"/>
        <v>-1333368899.5461538</v>
      </c>
      <c r="EK11" s="16">
        <f t="shared" ca="1" si="22"/>
        <v>0</v>
      </c>
      <c r="EL11" s="32" t="str">
        <f>IF(VLOOKUP(BM11,Fundamentus!A:U,3,FALSE)&lt;15,"Bom",IF(VLOOKUP(BM11,Fundamentus!A:U,3,FALSE)&gt;15,"Ruim","n/a"))</f>
        <v>Bom</v>
      </c>
      <c r="EM11" s="28" t="str">
        <f>IF(VLOOKUP(BM11,Fundamentus!A:U,4,FALSE)&lt;1,"Baixo",IF(VLOOKUP(BM11,Fundamentus!A:U,4,FALSE)&lt;1.5,"Moderado",IF(VLOOKUP(BM11,Fundamentus!A:U,4,FALSE)&gt;1.5,"Alto","n/a")))</f>
        <v>Baixo</v>
      </c>
      <c r="EN11" s="17" t="str">
        <f>IF(VLOOKUP(BM11,Fundamentus!A:U,8,FALSE)&lt;0,"Risco elevado",IF(VLOOKUP(BM11,Fundamentus!A:U,8,FALSE)&lt;1,"Saudável",IF(VLOOKUP(BM11,Fundamentus!A:U,8,FALSE)&lt;3,"Estável",IF(VLOOKUP(BM11,Fundamentus!A:U,8,FALSE)&gt;3,"Alerta","n/a"))))</f>
        <v>Risco elevado</v>
      </c>
      <c r="EO11" s="28" t="str">
        <f t="shared" si="23"/>
        <v>Ruim</v>
      </c>
      <c r="EP11" s="17" t="str">
        <f>IF(VLOOKUP(BM11,Fundamentus!A:U,12,FALSE)&lt;2,"Subvalorizada",IF(VLOOKUP(BM11,Fundamentus!A:U,12,FALSE)&lt;6,"Muita barata",IF(VLOOKUP(BM11,Fundamentus!A:U,12,FALSE)&lt;6,"Barata",IF(VLOOKUP(BM11,Fundamentus!A:U,12,FALSE)&lt;8,"Atrativa",IF(VLOOKUP(BM11,Fundamentus!A:U,12,FALSE)&gt;8,"Supervalorizada","n/a")))))</f>
        <v>Subvalorizada</v>
      </c>
      <c r="ER11" s="17" t="str">
        <f>IF(VLOOKUP(BM11,Fundamentus!A:U,17,FALSE)&lt;0.1,"Fraco retorno",IF(VLOOKUP(BM11,Fundamentus!A:U,17,FALSE)&gt;0.1,"Bom retorno","n/a"))</f>
        <v>Bom retorno</v>
      </c>
      <c r="ES11" s="17" t="str">
        <f>IF(VLOOKUP(BM11,Fundamentus!A:U,16,FALSE)&lt;0.1,"Ineficiente",IF(VLOOKUP(BM11,Fundamentus!A:U,16,FALSE)&gt;0.1,"Eficiente","n/a"))</f>
        <v>Ineficiente</v>
      </c>
      <c r="ET11" s="33" t="str">
        <f>IF(VLOOKUP(BM11,Fundamentus!A:U,16,FALSE)&lt;0.1,"Oper. Ineficiente",IF(VLOOKUP(BM11,Fundamentus!A:U,16,FALSE)&gt;0.1,"Oper.Eficiente","n/a"))</f>
        <v>Oper. Ineficiente</v>
      </c>
      <c r="EU11" s="34">
        <f>VLOOKUP(BM11,Fundamentus!A:U,14,FALSE)</f>
        <v>-0.17660000000000001</v>
      </c>
      <c r="EV11" s="17" t="str">
        <f>IF(VLOOKUP(BM11,Fundamentus!A:U,21,FALSE)&lt;0,"Negativo",IF(VLOOKUP(BM11,Fundamentus!A:U,21,FALSE)&lt;0.05,"Fraco",IF(VLOOKUP(BM11,Fundamentus!A:U,21,FALSE)&lt;0.1,"Bom",IF(VLOOKUP(BM11,Fundamentus!A:U,21,FALSE)&gt;0.1,"Muito bom","n/a"))))</f>
        <v>Muito bom</v>
      </c>
      <c r="EX11" s="29" t="str">
        <f>IF(VLOOKUP(BM11,Fundamentus!A:U,15,FALSE)&gt;1,"Bom",IF(VLOOKUP(BM11,Fundamentus!A:U,15,FALSE)&lt;1,"Ruim","n/a"))</f>
        <v>Ruim</v>
      </c>
      <c r="EY11" s="17" t="str">
        <f>IF(VLOOKUP(BM11,Fundamentus!A:U,20,FALSE)&lt;0.5,"Baixa",IF(VLOOKUP(BM11,Fundamentus!A:U,20,FALSE)&lt;1,"Moderada",IF(VLOOKUP(BM11,Fundamentus!A:U,20,FALSE)&lt;2,"Alerta",IF(VLOOKUP(BM11,Fundamentus!A:U,20,FALSE)&gt;2,"Alta","n/a"))))</f>
        <v>Baixa</v>
      </c>
    </row>
    <row r="12" spans="1:155" s="2" customFormat="1" ht="11.25" x14ac:dyDescent="0.2">
      <c r="A12" s="4">
        <v>7.58</v>
      </c>
      <c r="B12" s="4">
        <v>8.09</v>
      </c>
      <c r="C12" s="4">
        <v>8.1199999999999992</v>
      </c>
      <c r="D12" s="4">
        <v>7.74</v>
      </c>
      <c r="E12" s="4">
        <v>7.1</v>
      </c>
      <c r="F12" s="4">
        <v>6.9</v>
      </c>
      <c r="G12" s="4">
        <v>7</v>
      </c>
      <c r="H12" s="4">
        <v>7</v>
      </c>
      <c r="I12" s="4">
        <v>7.28</v>
      </c>
      <c r="J12" s="4">
        <v>7.63</v>
      </c>
      <c r="K12" s="4">
        <v>7.7</v>
      </c>
      <c r="L12" s="4">
        <v>7.88</v>
      </c>
      <c r="M12" s="4">
        <v>7.6</v>
      </c>
      <c r="N12" s="4">
        <v>7.21</v>
      </c>
      <c r="O12" s="4">
        <v>7.44</v>
      </c>
      <c r="P12" s="4">
        <v>7.4</v>
      </c>
      <c r="Q12" s="4">
        <v>7.57</v>
      </c>
      <c r="R12" s="4">
        <v>7.12</v>
      </c>
      <c r="S12" s="4">
        <v>6.96</v>
      </c>
      <c r="T12" s="4">
        <v>6.42</v>
      </c>
      <c r="U12" s="4">
        <v>6.7</v>
      </c>
      <c r="V12" s="4">
        <v>6.26</v>
      </c>
      <c r="W12" s="4">
        <v>6.29</v>
      </c>
      <c r="X12" s="4">
        <v>6.57</v>
      </c>
      <c r="Y12" s="4">
        <v>6.38</v>
      </c>
      <c r="Z12" s="4">
        <v>6.6</v>
      </c>
      <c r="AA12" s="4">
        <v>7.62</v>
      </c>
      <c r="AB12" s="4">
        <v>7</v>
      </c>
      <c r="AC12" s="4">
        <v>6.64</v>
      </c>
      <c r="AD12" s="4">
        <v>6.45</v>
      </c>
      <c r="AE12" s="4">
        <v>6.19</v>
      </c>
      <c r="AF12" s="4">
        <v>6.17</v>
      </c>
      <c r="AG12" s="4">
        <v>5.7</v>
      </c>
      <c r="AH12" s="4">
        <v>5.54</v>
      </c>
      <c r="AI12" s="4">
        <v>5.9</v>
      </c>
      <c r="AJ12" s="4">
        <v>5.46</v>
      </c>
      <c r="AK12" s="4">
        <v>5.52</v>
      </c>
      <c r="AL12" s="4">
        <v>6.03</v>
      </c>
      <c r="AM12" s="4">
        <v>5.68</v>
      </c>
      <c r="AN12" s="4">
        <v>5.83</v>
      </c>
      <c r="AO12" s="4">
        <v>6.02</v>
      </c>
      <c r="AP12" s="4">
        <v>6.15</v>
      </c>
      <c r="AQ12" s="4">
        <v>6.05</v>
      </c>
      <c r="AR12" s="4">
        <v>5.57</v>
      </c>
      <c r="AS12" s="4">
        <v>5.69</v>
      </c>
      <c r="AT12" s="4">
        <v>6</v>
      </c>
      <c r="AU12" s="4">
        <v>5.8250000000000002</v>
      </c>
      <c r="AV12" s="4">
        <v>5.53</v>
      </c>
      <c r="AW12" s="4">
        <v>5.32</v>
      </c>
      <c r="AX12" s="4">
        <v>5.69</v>
      </c>
      <c r="AY12" s="12">
        <v>6.5</v>
      </c>
      <c r="AZ12" s="12">
        <v>6.31</v>
      </c>
      <c r="BA12" s="12">
        <v>6.12</v>
      </c>
      <c r="BB12" s="15">
        <v>5.32</v>
      </c>
      <c r="BC12" s="52">
        <v>5.4</v>
      </c>
      <c r="BD12" s="52">
        <v>5.3</v>
      </c>
      <c r="BE12" s="52">
        <v>5.4</v>
      </c>
      <c r="BF12" s="52">
        <v>5.47</v>
      </c>
      <c r="BG12" s="67">
        <v>5.07</v>
      </c>
      <c r="BH12" s="52">
        <v>4.9400000000000004</v>
      </c>
      <c r="BI12" s="52">
        <v>4.99</v>
      </c>
      <c r="BJ12" s="52">
        <v>4.9400000000000004</v>
      </c>
      <c r="BK12" s="52">
        <v>4.74</v>
      </c>
      <c r="BL12" s="52" cm="1">
        <f t="array" aca="1" ref="BL12" ca="1">_FV(EC12,"Preço")</f>
        <v>4.74</v>
      </c>
      <c r="BM12" s="69" t="s">
        <v>9</v>
      </c>
      <c r="BN12" s="36" cm="1">
        <f t="array" aca="1" ref="BN12" ca="1">_FV(EC12,"Média de volume",TRUE)</f>
        <v>73730</v>
      </c>
      <c r="BO12" s="36">
        <v>91100</v>
      </c>
      <c r="BP12" s="36" cm="1">
        <f t="array" aca="1" ref="BP12" ca="1">_FV(EC12,"Volume")</f>
        <v>91100</v>
      </c>
      <c r="BQ12" s="24" cm="1">
        <f t="array" aca="1" ref="BQ12" ca="1">_FV(EC12,"Beta")</f>
        <v>0.96209999999999996</v>
      </c>
      <c r="BR12" s="71" cm="1">
        <f t="array" aca="1" ref="BR12" ca="1">_FV(EC12,"Variação (%)",TRUE)</f>
        <v>-2.6693999999999999E-2</v>
      </c>
      <c r="BT12" s="17" cm="1">
        <f t="array" aca="1" ref="BT12" ca="1">_FV(EC12,"Baixo")</f>
        <v>4.74</v>
      </c>
      <c r="BU12" s="17" cm="1">
        <f t="array" aca="1" ref="BU12" ca="1">_FV(EC12,"Alto")</f>
        <v>5</v>
      </c>
      <c r="BV12" s="24"/>
      <c r="BW12" s="63">
        <f ca="1">SQRT(22.5*(BL12/VLOOKUP(BM12,Fundamentus!A:U,3,FALSE))*(BL12/VLOOKUP(BM12,Fundamentus!A:U,4,FALSE)))</f>
        <v>13.021890661038116</v>
      </c>
      <c r="BY12" s="62">
        <f t="shared" ca="1" si="24"/>
        <v>0</v>
      </c>
      <c r="BZ12" s="8"/>
      <c r="CA12" s="61">
        <f t="shared" si="25"/>
        <v>4.74</v>
      </c>
      <c r="CB12" s="61">
        <f t="shared" si="26"/>
        <v>8.1199999999999992</v>
      </c>
      <c r="CC12" s="61">
        <f t="shared" si="27"/>
        <v>6.3589682539682508</v>
      </c>
      <c r="CD12" s="14"/>
      <c r="CE12" s="35">
        <f t="shared" si="1"/>
        <v>4.4250655478986678</v>
      </c>
      <c r="CF12" s="15">
        <f t="shared" si="28"/>
        <v>4.8699999999999477</v>
      </c>
      <c r="CG12" s="35">
        <f t="shared" si="2"/>
        <v>5.3149344521012276</v>
      </c>
      <c r="CI12" s="14"/>
      <c r="CJ12" s="17">
        <f t="shared" si="3"/>
        <v>0.36666666666666892</v>
      </c>
      <c r="CK12" s="17">
        <f t="shared" si="4"/>
        <v>2.5533333333333346</v>
      </c>
      <c r="CL12" s="17">
        <f t="shared" si="5"/>
        <v>3.7466666666666679</v>
      </c>
      <c r="CM12" s="38">
        <f t="shared" si="29"/>
        <v>5.9333333333333336</v>
      </c>
      <c r="CN12" s="17">
        <f t="shared" si="6"/>
        <v>7.1266666666666669</v>
      </c>
      <c r="CO12" s="17">
        <f t="shared" si="7"/>
        <v>9.3133333333333326</v>
      </c>
      <c r="CP12" s="17">
        <f t="shared" si="8"/>
        <v>10.506666666666666</v>
      </c>
      <c r="CQ12" s="2" cm="1">
        <f t="array" aca="1" ref="CQ12" ca="1">MAX(_xlfn._xlws.FILTER(CJ12:CP12,CJ12:CP12&lt;BL12))</f>
        <v>3.7466666666666679</v>
      </c>
      <c r="CR12" s="2" cm="1">
        <f t="array" aca="1" ref="CR12" ca="1">MIN(_xlfn._xlws.FILTER($CJ12:$CP12,$CJ12:$CP12&gt;BL12))</f>
        <v>5.9333333333333336</v>
      </c>
      <c r="CS12" s="16">
        <f t="shared" ca="1" si="30"/>
        <v>0.58362989323843362</v>
      </c>
      <c r="CT12" s="20">
        <f t="shared" ca="1" si="31"/>
        <v>-0.29181494661921681</v>
      </c>
      <c r="CU12" s="20">
        <f t="shared" ca="1" si="32"/>
        <v>-0.19454329774614454</v>
      </c>
      <c r="CV12" s="20">
        <f t="shared" ca="1" si="33"/>
        <v>-0.11672597864768672</v>
      </c>
      <c r="CW12" s="20">
        <f t="shared" ca="1" si="34"/>
        <v>-6.4847765915381508E-2</v>
      </c>
      <c r="CX12" s="20">
        <f t="shared" ca="1" si="40"/>
        <v>-3.4331170190496092E-2</v>
      </c>
      <c r="CY12" s="20">
        <f t="shared" ca="1" si="41"/>
        <v>-1.7685754340558593E-2</v>
      </c>
      <c r="CZ12" s="20">
        <f t="shared" ca="1" si="42"/>
        <v>-8.97892143443744E-3</v>
      </c>
      <c r="DA12" s="21">
        <f t="shared" ca="1" si="43"/>
        <v>8.97892143443744E-3</v>
      </c>
      <c r="DB12" s="21">
        <f t="shared" ca="1" si="44"/>
        <v>1.7685754340558593E-2</v>
      </c>
      <c r="DC12" s="21">
        <f t="shared" ca="1" si="45"/>
        <v>3.4331170190496092E-2</v>
      </c>
      <c r="DD12" s="21">
        <f t="shared" ca="1" si="35"/>
        <v>6.4847765915381508E-2</v>
      </c>
      <c r="DE12" s="21">
        <f t="shared" ca="1" si="36"/>
        <v>0.11672597864768672</v>
      </c>
      <c r="DF12" s="21">
        <f t="shared" ca="1" si="37"/>
        <v>0.19454329774614454</v>
      </c>
      <c r="DG12" s="21">
        <f t="shared" ca="1" si="38"/>
        <v>0.29181494661921681</v>
      </c>
      <c r="DI12" s="16" cm="1">
        <f t="array" aca="1" ref="DI12" ca="1">MAX(_xlfn._xlws.FILTER(CT12:DG12,CT12:DG12&lt;BR12))</f>
        <v>-3.4331170190496092E-2</v>
      </c>
      <c r="DJ12" s="16" cm="1">
        <f t="array" aca="1" ref="DJ12" ca="1">MIN(_xlfn._xlws.FILTER(CT12:DG12,CT12:DG12&gt;BR12))</f>
        <v>-1.7685754340558593E-2</v>
      </c>
      <c r="DK12" s="2" cm="1">
        <f t="array" aca="1" ref="DK12" ca="1">_FV(EC12,"Fechamento anterior",TRUE)</f>
        <v>4.87</v>
      </c>
      <c r="DL12" s="28">
        <f t="shared" ca="1" si="15"/>
        <v>0.45881250939049245</v>
      </c>
      <c r="DM12" s="15">
        <f t="shared" ca="1" si="16"/>
        <v>4.7028072011722841</v>
      </c>
      <c r="DN12" s="15">
        <f t="shared" ca="1" si="17"/>
        <v>4.78387037636148</v>
      </c>
      <c r="DO12" s="9"/>
      <c r="DP12" s="9"/>
      <c r="DQ12" s="9"/>
      <c r="DR12" s="89">
        <v>6.0672979333266409E-3</v>
      </c>
      <c r="DS12" s="89">
        <v>1.5435222672064779E-2</v>
      </c>
      <c r="DT12" s="89">
        <v>1.6812053925455976E-2</v>
      </c>
      <c r="DU12" s="89">
        <v>1.558336549240126E-2</v>
      </c>
      <c r="DV12" s="89">
        <f t="shared" ca="1" si="18"/>
        <v>1.6645415849937499E-2</v>
      </c>
      <c r="DW12" s="72">
        <f t="shared" ca="1" si="19"/>
        <v>-0.29217786886585206</v>
      </c>
      <c r="DX12" s="37"/>
      <c r="DY12" s="35">
        <f t="shared" si="39"/>
        <v>0.22246722605064009</v>
      </c>
      <c r="DZ12" s="56"/>
      <c r="EA12" s="56"/>
      <c r="EC12" s="2" t="e" vm="12">
        <v>#VALUE!</v>
      </c>
      <c r="EE12" s="10" cm="1">
        <f t="array" aca="1" ref="EE12" ca="1">_FV(EC12,"Ações em circulação",TRUE)</f>
        <v>50602840</v>
      </c>
      <c r="EF12" s="18">
        <f>VLOOKUP(BM12,Fundamentus!A:U,5,FALSE)</f>
        <v>0.114</v>
      </c>
      <c r="EG12" s="2">
        <f t="shared" ca="1" si="20"/>
        <v>2104012821.0526316</v>
      </c>
      <c r="EH12" s="17">
        <v>23354542.31368421</v>
      </c>
      <c r="EI12" s="17">
        <f t="shared" ca="1" si="21"/>
        <v>23354542.31368421</v>
      </c>
      <c r="EK12" s="16">
        <f t="shared" ca="1" si="22"/>
        <v>0</v>
      </c>
      <c r="EL12" s="32" t="str">
        <f>IF(VLOOKUP(BM12,Fundamentus!A:U,3,FALSE)&lt;15,"Bom",IF(VLOOKUP(BM12,Fundamentus!A:U,3,FALSE)&gt;15,"Ruim","n/a"))</f>
        <v>Bom</v>
      </c>
      <c r="EM12" s="28" t="str">
        <f>IF(VLOOKUP(BM12,Fundamentus!A:U,4,FALSE)&lt;1,"Baixo",IF(VLOOKUP(BM12,Fundamentus!A:U,4,FALSE)&lt;1.5,"Moderado",IF(VLOOKUP(BM12,Fundamentus!A:U,4,FALSE)&gt;1.5,"Alto","n/a")))</f>
        <v>Baixo</v>
      </c>
      <c r="EN12" s="17" t="str">
        <f>IF(VLOOKUP(BM12,Fundamentus!A:U,8,FALSE)&lt;0,"Risco elevado",IF(VLOOKUP(BM12,Fundamentus!A:U,8,FALSE)&lt;1,"Saudável",IF(VLOOKUP(BM12,Fundamentus!A:U,8,FALSE)&lt;3,"Estável",IF(VLOOKUP(BM12,Fundamentus!A:U,8,FALSE)&gt;3,"Alerta","n/a"))))</f>
        <v>Alerta</v>
      </c>
      <c r="EO12" s="28" t="str">
        <f t="shared" si="23"/>
        <v>Ruim</v>
      </c>
      <c r="EP12" s="17" t="str">
        <f>IF(VLOOKUP(BM12,Fundamentus!A:U,12,FALSE)&lt;2,"Subvalorizada",IF(VLOOKUP(BM12,Fundamentus!A:U,12,FALSE)&lt;6,"Muita barata",IF(VLOOKUP(BM12,Fundamentus!A:U,12,FALSE)&lt;6,"Barata",IF(VLOOKUP(BM12,Fundamentus!A:U,12,FALSE)&lt;8,"Atrativa",IF(VLOOKUP(BM12,Fundamentus!A:U,12,FALSE)&gt;8,"Supervalorizada","n/a")))))</f>
        <v>Subvalorizada</v>
      </c>
      <c r="ER12" s="17" t="str">
        <f>IF(VLOOKUP(BM12,Fundamentus!A:U,17,FALSE)&lt;0.1,"Fraco retorno",IF(VLOOKUP(BM12,Fundamentus!A:U,17,FALSE)&gt;0.1,"Bom retorno","n/a"))</f>
        <v>Fraco retorno</v>
      </c>
      <c r="ES12" s="17" t="str">
        <f>IF(VLOOKUP(BM12,Fundamentus!A:U,16,FALSE)&lt;0.1,"Ineficiente",IF(VLOOKUP(BM12,Fundamentus!A:U,16,FALSE)&gt;0.1,"Eficiente","n/a"))</f>
        <v>Ineficiente</v>
      </c>
      <c r="ET12" s="33" t="str">
        <f>IF(VLOOKUP(BM12,Fundamentus!A:U,16,FALSE)&lt;0.1,"Oper. Ineficiente",IF(VLOOKUP(BM12,Fundamentus!A:U,16,FALSE)&gt;0.1,"Oper.Eficiente","n/a"))</f>
        <v>Oper. Ineficiente</v>
      </c>
      <c r="EU12" s="34">
        <f>VLOOKUP(BM12,Fundamentus!A:U,14,FALSE)</f>
        <v>1.11E-2</v>
      </c>
      <c r="EV12" s="17" t="str">
        <f>IF(VLOOKUP(BM12,Fundamentus!A:U,21,FALSE)&lt;0,"Negativo",IF(VLOOKUP(BM12,Fundamentus!A:U,21,FALSE)&lt;0.05,"Fraco",IF(VLOOKUP(BM12,Fundamentus!A:U,21,FALSE)&lt;0.1,"Bom",IF(VLOOKUP(BM12,Fundamentus!A:U,21,FALSE)&gt;0.1,"Muito bom","n/a"))))</f>
        <v>Muito bom</v>
      </c>
      <c r="EX12" s="29" t="str">
        <f>IF(VLOOKUP(BM12,Fundamentus!A:U,15,FALSE)&gt;1,"Bom",IF(VLOOKUP(BM12,Fundamentus!A:U,15,FALSE)&lt;1,"Ruim","n/a"))</f>
        <v>Bom</v>
      </c>
      <c r="EY12" s="17" t="str">
        <f>IF(VLOOKUP(BM12,Fundamentus!A:U,20,FALSE)&lt;0.5,"Baixa",IF(VLOOKUP(BM12,Fundamentus!A:U,20,FALSE)&lt;1,"Moderada",IF(VLOOKUP(BM12,Fundamentus!A:U,20,FALSE)&lt;2,"Alerta",IF(VLOOKUP(BM12,Fundamentus!A:U,20,FALSE)&gt;2,"Alta","n/a"))))</f>
        <v>Baixa</v>
      </c>
    </row>
    <row r="13" spans="1:155" s="2" customFormat="1" ht="11.25" x14ac:dyDescent="0.2">
      <c r="A13" s="4">
        <v>18.309999999999999</v>
      </c>
      <c r="B13" s="4">
        <v>18.5</v>
      </c>
      <c r="C13" s="4">
        <v>18.41</v>
      </c>
      <c r="D13" s="4">
        <v>18.29</v>
      </c>
      <c r="E13" s="4">
        <v>17.84</v>
      </c>
      <c r="F13" s="4">
        <v>17.25</v>
      </c>
      <c r="G13" s="4">
        <v>17.63</v>
      </c>
      <c r="H13" s="4">
        <v>17.46</v>
      </c>
      <c r="I13" s="4">
        <v>17.47</v>
      </c>
      <c r="J13" s="4">
        <v>18.8</v>
      </c>
      <c r="K13" s="4">
        <v>19.11</v>
      </c>
      <c r="L13" s="4">
        <v>19.350000000000001</v>
      </c>
      <c r="M13" s="4">
        <v>18.32</v>
      </c>
      <c r="N13" s="4">
        <v>17.739999999999998</v>
      </c>
      <c r="O13" s="4">
        <v>18.37</v>
      </c>
      <c r="P13" s="4">
        <v>17.72</v>
      </c>
      <c r="Q13" s="4">
        <v>17.899999999999999</v>
      </c>
      <c r="R13" s="4">
        <v>17.66</v>
      </c>
      <c r="S13" s="4">
        <v>17.36</v>
      </c>
      <c r="T13" s="4">
        <v>17.21</v>
      </c>
      <c r="U13" s="4">
        <v>17</v>
      </c>
      <c r="V13" s="4">
        <v>18.66</v>
      </c>
      <c r="W13" s="4">
        <v>17.93</v>
      </c>
      <c r="X13" s="4">
        <v>17.100000000000001</v>
      </c>
      <c r="Y13" s="4">
        <v>17.260000000000002</v>
      </c>
      <c r="Z13" s="4">
        <v>17.22</v>
      </c>
      <c r="AA13" s="4">
        <v>17.3</v>
      </c>
      <c r="AB13" s="4">
        <v>17.350000000000001</v>
      </c>
      <c r="AC13" s="4">
        <v>16.98</v>
      </c>
      <c r="AD13" s="4">
        <v>16.84</v>
      </c>
      <c r="AE13" s="4">
        <v>17.41</v>
      </c>
      <c r="AF13" s="4">
        <v>18.57</v>
      </c>
      <c r="AG13" s="4">
        <v>19.170000000000002</v>
      </c>
      <c r="AH13" s="4">
        <v>17.93</v>
      </c>
      <c r="AI13" s="4">
        <v>17.68</v>
      </c>
      <c r="AJ13" s="4">
        <v>17.02</v>
      </c>
      <c r="AK13" s="4">
        <v>17.190000000000001</v>
      </c>
      <c r="AL13" s="4">
        <v>18.010000000000002</v>
      </c>
      <c r="AM13" s="4">
        <v>17.829999999999998</v>
      </c>
      <c r="AN13" s="4">
        <v>17.36</v>
      </c>
      <c r="AO13" s="4">
        <v>18.16</v>
      </c>
      <c r="AP13" s="4">
        <v>18.829999999999998</v>
      </c>
      <c r="AQ13" s="4">
        <v>18.34</v>
      </c>
      <c r="AR13" s="4">
        <v>18.04</v>
      </c>
      <c r="AS13" s="4">
        <v>19.18</v>
      </c>
      <c r="AT13" s="4">
        <v>18.62</v>
      </c>
      <c r="AU13" s="4">
        <v>18.664999999999999</v>
      </c>
      <c r="AV13" s="4">
        <v>18.43</v>
      </c>
      <c r="AW13" s="4">
        <v>18.53</v>
      </c>
      <c r="AX13" s="4">
        <v>20.12</v>
      </c>
      <c r="AY13" s="12">
        <v>20.149999999999999</v>
      </c>
      <c r="AZ13" s="12">
        <v>20.010000000000002</v>
      </c>
      <c r="BA13" s="12">
        <v>19.79</v>
      </c>
      <c r="BB13" s="15">
        <v>19.329999999999998</v>
      </c>
      <c r="BC13" s="52">
        <v>19.04</v>
      </c>
      <c r="BD13" s="52">
        <v>18.88</v>
      </c>
      <c r="BE13" s="52">
        <v>18.89</v>
      </c>
      <c r="BF13" s="52">
        <v>18.91</v>
      </c>
      <c r="BG13" s="67">
        <v>18.489999999999998</v>
      </c>
      <c r="BH13" s="52">
        <v>18.45</v>
      </c>
      <c r="BI13" s="52">
        <v>17.91</v>
      </c>
      <c r="BJ13" s="52">
        <v>18.100000000000001</v>
      </c>
      <c r="BK13" s="52">
        <v>18.2</v>
      </c>
      <c r="BL13" s="52" cm="1">
        <f t="array" aca="1" ref="BL13" ca="1">_FV(EC13,"Preço")</f>
        <v>18.2</v>
      </c>
      <c r="BM13" s="69" t="s">
        <v>10</v>
      </c>
      <c r="BN13" s="36" cm="1">
        <f t="array" aca="1" ref="BN13" ca="1">_FV(EC13,"Média de volume",TRUE)</f>
        <v>2212320</v>
      </c>
      <c r="BO13" s="36">
        <v>1630300</v>
      </c>
      <c r="BP13" s="36" cm="1">
        <f t="array" aca="1" ref="BP13" ca="1">_FV(EC13,"Volume")</f>
        <v>1630300</v>
      </c>
      <c r="BQ13" s="24" cm="1">
        <f t="array" aca="1" ref="BQ13" ca="1">_FV(EC13,"Beta")</f>
        <v>0.48120000000000002</v>
      </c>
      <c r="BR13" s="71" cm="1">
        <f t="array" aca="1" ref="BR13" ca="1">_FV(EC13,"Variação (%)",TRUE)</f>
        <v>2.7550000000000001E-3</v>
      </c>
      <c r="BT13" s="17" cm="1">
        <f t="array" aca="1" ref="BT13" ca="1">_FV(EC13,"Baixo")</f>
        <v>18.03</v>
      </c>
      <c r="BU13" s="17" cm="1">
        <f t="array" aca="1" ref="BU13" ca="1">_FV(EC13,"Alto")</f>
        <v>18.260000000000002</v>
      </c>
      <c r="BV13" s="24"/>
      <c r="BW13" s="63">
        <f ca="1">SQRT(22.5*(BL13/VLOOKUP(BM13,Fundamentus!A:U,3,FALSE))*(BL13/VLOOKUP(BM13,Fundamentus!A:U,4,FALSE)))</f>
        <v>20.169777049392376</v>
      </c>
      <c r="BY13" s="62">
        <f t="shared" ca="1" si="24"/>
        <v>0</v>
      </c>
      <c r="BZ13" s="8"/>
      <c r="CA13" s="61">
        <f t="shared" si="25"/>
        <v>16.84</v>
      </c>
      <c r="CB13" s="61">
        <f t="shared" si="26"/>
        <v>20.149999999999999</v>
      </c>
      <c r="CC13" s="61">
        <f t="shared" si="27"/>
        <v>18.18373015873016</v>
      </c>
      <c r="CD13" s="14"/>
      <c r="CE13" s="35">
        <f t="shared" si="1"/>
        <v>17.493295443890947</v>
      </c>
      <c r="CF13" s="15">
        <f t="shared" si="28"/>
        <v>18.137</v>
      </c>
      <c r="CG13" s="35">
        <f t="shared" si="2"/>
        <v>18.780704556109054</v>
      </c>
      <c r="CI13" s="14"/>
      <c r="CJ13" s="17">
        <f t="shared" si="3"/>
        <v>13.266666666666669</v>
      </c>
      <c r="CK13" s="17">
        <f t="shared" si="4"/>
        <v>15.053333333333335</v>
      </c>
      <c r="CL13" s="17">
        <f t="shared" si="5"/>
        <v>16.576666666666668</v>
      </c>
      <c r="CM13" s="38">
        <f t="shared" si="29"/>
        <v>18.363333333333333</v>
      </c>
      <c r="CN13" s="17">
        <f t="shared" si="6"/>
        <v>19.886666666666667</v>
      </c>
      <c r="CO13" s="17">
        <f t="shared" si="7"/>
        <v>21.673333333333332</v>
      </c>
      <c r="CP13" s="17">
        <f t="shared" si="8"/>
        <v>23.196666666666665</v>
      </c>
      <c r="CQ13" s="2" cm="1">
        <f t="array" aca="1" ref="CQ13" ca="1">MAX(_xlfn._xlws.FILTER(CJ13:CP13,CJ13:CP13&lt;BL13))</f>
        <v>16.576666666666668</v>
      </c>
      <c r="CR13" s="2" cm="1">
        <f t="array" aca="1" ref="CR13" ca="1">MIN(_xlfn._xlws.FILTER($CJ13:$CP13,$CJ13:$CP13&gt;BL13))</f>
        <v>18.363333333333333</v>
      </c>
      <c r="CS13" s="16">
        <f t="shared" ca="1" si="30"/>
        <v>0.10778202292378847</v>
      </c>
      <c r="CT13" s="20">
        <f t="shared" ca="1" si="31"/>
        <v>-5.3891011461894234E-2</v>
      </c>
      <c r="CU13" s="20">
        <f t="shared" ca="1" si="32"/>
        <v>-3.5927340974596156E-2</v>
      </c>
      <c r="CV13" s="20">
        <f t="shared" ca="1" si="33"/>
        <v>-2.1556404584757695E-2</v>
      </c>
      <c r="CW13" s="20">
        <f t="shared" ca="1" si="34"/>
        <v>-1.1975780324865385E-2</v>
      </c>
      <c r="CX13" s="20">
        <f t="shared" ca="1" si="40"/>
        <v>-6.3401189955169688E-3</v>
      </c>
      <c r="CY13" s="20">
        <f t="shared" ca="1" si="41"/>
        <v>-3.2661219067814688E-3</v>
      </c>
      <c r="CZ13" s="20">
        <f t="shared" ca="1" si="42"/>
        <v>-1.6581849680582842E-3</v>
      </c>
      <c r="DA13" s="21">
        <f t="shared" ca="1" si="43"/>
        <v>1.6581849680582842E-3</v>
      </c>
      <c r="DB13" s="21">
        <f t="shared" ca="1" si="44"/>
        <v>3.2661219067814688E-3</v>
      </c>
      <c r="DC13" s="21">
        <f t="shared" ca="1" si="45"/>
        <v>6.3401189955169688E-3</v>
      </c>
      <c r="DD13" s="21">
        <f t="shared" ca="1" si="35"/>
        <v>1.1975780324865385E-2</v>
      </c>
      <c r="DE13" s="21">
        <f t="shared" ca="1" si="36"/>
        <v>2.1556404584757695E-2</v>
      </c>
      <c r="DF13" s="21">
        <f t="shared" ca="1" si="37"/>
        <v>3.5927340974596156E-2</v>
      </c>
      <c r="DG13" s="21">
        <f t="shared" ca="1" si="38"/>
        <v>5.3891011461894234E-2</v>
      </c>
      <c r="DI13" s="16" cm="1">
        <f t="array" aca="1" ref="DI13" ca="1">MAX(_xlfn._xlws.FILTER(CT13:DG13,CT13:DG13&lt;BR13))</f>
        <v>1.6581849680582842E-3</v>
      </c>
      <c r="DJ13" s="16" cm="1">
        <f t="array" aca="1" ref="DJ13" ca="1">MIN(_xlfn._xlws.FILTER(CT13:DG13,CT13:DG13&gt;BR13))</f>
        <v>3.2661219067814688E-3</v>
      </c>
      <c r="DK13" s="2" cm="1">
        <f t="array" aca="1" ref="DK13" ca="1">_FV(EC13,"Fechamento anterior",TRUE)</f>
        <v>18.149999999999999</v>
      </c>
      <c r="DL13" s="28">
        <f t="shared" ca="1" si="15"/>
        <v>0.68201428934876562</v>
      </c>
      <c r="DM13" s="15">
        <f t="shared" ca="1" si="16"/>
        <v>18.180096057170257</v>
      </c>
      <c r="DN13" s="15">
        <f t="shared" ca="1" si="17"/>
        <v>18.209280112608081</v>
      </c>
      <c r="DO13" s="9"/>
      <c r="DP13" s="9"/>
      <c r="DQ13" s="9"/>
      <c r="DR13" s="89">
        <v>2.4652438650949481E-3</v>
      </c>
      <c r="DS13" s="89">
        <v>2.8063132165988959E-3</v>
      </c>
      <c r="DT13" s="89">
        <v>1.6079369387231846E-3</v>
      </c>
      <c r="DU13" s="89">
        <v>1.6079369387231846E-3</v>
      </c>
      <c r="DV13" s="89">
        <f t="shared" ca="1" si="18"/>
        <v>1.6079369387231846E-3</v>
      </c>
      <c r="DW13" s="72">
        <f t="shared" ca="1" si="19"/>
        <v>9.7870986622822134E-2</v>
      </c>
      <c r="DX13" s="37"/>
      <c r="DY13" s="35">
        <f t="shared" si="39"/>
        <v>0.32185227805452726</v>
      </c>
      <c r="DZ13" s="56"/>
      <c r="EA13" s="56"/>
      <c r="EC13" s="2" t="e" vm="13">
        <v>#VALUE!</v>
      </c>
      <c r="EE13" s="10" cm="1">
        <f t="array" aca="1" ref="EE13" ca="1">_FV(EC13,"Ações em circulação",TRUE)</f>
        <v>443329700</v>
      </c>
      <c r="EF13" s="18">
        <f>VLOOKUP(BM13,Fundamentus!A:U,5,FALSE)</f>
        <v>0.94799999999999995</v>
      </c>
      <c r="EG13" s="2">
        <f t="shared" ca="1" si="20"/>
        <v>8511182004.2194099</v>
      </c>
      <c r="EH13" s="17">
        <v>751537370.97257388</v>
      </c>
      <c r="EI13" s="17">
        <f t="shared" ca="1" si="21"/>
        <v>751537370.97257388</v>
      </c>
      <c r="EK13" s="16">
        <f t="shared" ca="1" si="22"/>
        <v>0</v>
      </c>
      <c r="EL13" s="32" t="str">
        <f>IF(VLOOKUP(BM13,Fundamentus!A:U,3,FALSE)&lt;15,"Bom",IF(VLOOKUP(BM13,Fundamentus!A:U,3,FALSE)&gt;15,"Ruim","n/a"))</f>
        <v>Bom</v>
      </c>
      <c r="EM13" s="28" t="str">
        <f>IF(VLOOKUP(BM13,Fundamentus!A:U,4,FALSE)&lt;1,"Baixo",IF(VLOOKUP(BM13,Fundamentus!A:U,4,FALSE)&lt;1.5,"Moderado",IF(VLOOKUP(BM13,Fundamentus!A:U,4,FALSE)&gt;1.5,"Alto","n/a")))</f>
        <v>Alto</v>
      </c>
      <c r="EN13" s="17" t="str">
        <f>IF(VLOOKUP(BM13,Fundamentus!A:U,8,FALSE)&lt;0,"Risco elevado",IF(VLOOKUP(BM13,Fundamentus!A:U,8,FALSE)&lt;1,"Saudável",IF(VLOOKUP(BM13,Fundamentus!A:U,8,FALSE)&lt;3,"Estável",IF(VLOOKUP(BM13,Fundamentus!A:U,8,FALSE)&gt;3,"Alerta","n/a"))))</f>
        <v>Alerta</v>
      </c>
      <c r="EO13" s="28" t="str">
        <f t="shared" si="23"/>
        <v>Ruim</v>
      </c>
      <c r="EP13" s="17" t="str">
        <f>IF(VLOOKUP(BM13,Fundamentus!A:U,12,FALSE)&lt;2,"Subvalorizada",IF(VLOOKUP(BM13,Fundamentus!A:U,12,FALSE)&lt;6,"Muita barata",IF(VLOOKUP(BM13,Fundamentus!A:U,12,FALSE)&lt;6,"Barata",IF(VLOOKUP(BM13,Fundamentus!A:U,12,FALSE)&lt;8,"Atrativa",IF(VLOOKUP(BM13,Fundamentus!A:U,12,FALSE)&gt;8,"Supervalorizada","n/a")))))</f>
        <v>Atrativa</v>
      </c>
      <c r="ER13" s="17" t="str">
        <f>IF(VLOOKUP(BM13,Fundamentus!A:U,17,FALSE)&lt;0.1,"Fraco retorno",IF(VLOOKUP(BM13,Fundamentus!A:U,17,FALSE)&gt;0.1,"Bom retorno","n/a"))</f>
        <v>Bom retorno</v>
      </c>
      <c r="ES13" s="17" t="str">
        <f>IF(VLOOKUP(BM13,Fundamentus!A:U,16,FALSE)&lt;0.1,"Ineficiente",IF(VLOOKUP(BM13,Fundamentus!A:U,16,FALSE)&gt;0.1,"Eficiente","n/a"))</f>
        <v>Eficiente</v>
      </c>
      <c r="ET13" s="33" t="str">
        <f>IF(VLOOKUP(BM13,Fundamentus!A:U,16,FALSE)&lt;0.1,"Oper. Ineficiente",IF(VLOOKUP(BM13,Fundamentus!A:U,16,FALSE)&gt;0.1,"Oper.Eficiente","n/a"))</f>
        <v>Oper.Eficiente</v>
      </c>
      <c r="EU13" s="34">
        <f>VLOOKUP(BM13,Fundamentus!A:U,14,FALSE)</f>
        <v>8.8300000000000003E-2</v>
      </c>
      <c r="EV13" s="17" t="str">
        <f>IF(VLOOKUP(BM13,Fundamentus!A:U,21,FALSE)&lt;0,"Negativo",IF(VLOOKUP(BM13,Fundamentus!A:U,21,FALSE)&lt;0.05,"Fraco",IF(VLOOKUP(BM13,Fundamentus!A:U,21,FALSE)&lt;0.1,"Bom",IF(VLOOKUP(BM13,Fundamentus!A:U,21,FALSE)&gt;0.1,"Muito bom","n/a"))))</f>
        <v>Muito bom</v>
      </c>
      <c r="EX13" s="29" t="str">
        <f>IF(VLOOKUP(BM13,Fundamentus!A:U,15,FALSE)&gt;1,"Bom",IF(VLOOKUP(BM13,Fundamentus!A:U,15,FALSE)&lt;1,"Ruim","n/a"))</f>
        <v>Bom</v>
      </c>
      <c r="EY13" s="17" t="str">
        <f>IF(VLOOKUP(BM13,Fundamentus!A:U,20,FALSE)&lt;0.5,"Baixa",IF(VLOOKUP(BM13,Fundamentus!A:U,20,FALSE)&lt;1,"Moderada",IF(VLOOKUP(BM13,Fundamentus!A:U,20,FALSE)&lt;2,"Alerta",IF(VLOOKUP(BM13,Fundamentus!A:U,20,FALSE)&gt;2,"Alta","n/a"))))</f>
        <v>Alerta</v>
      </c>
    </row>
    <row r="14" spans="1:155" s="2" customFormat="1" ht="11.25" x14ac:dyDescent="0.2">
      <c r="A14" s="4">
        <v>6.75</v>
      </c>
      <c r="B14" s="4">
        <v>6.79</v>
      </c>
      <c r="C14" s="4">
        <v>6.63</v>
      </c>
      <c r="D14" s="4">
        <v>6.29</v>
      </c>
      <c r="E14" s="4">
        <v>6.15</v>
      </c>
      <c r="F14" s="4">
        <v>6.5</v>
      </c>
      <c r="G14" s="4">
        <v>6.52</v>
      </c>
      <c r="H14" s="4">
        <v>6.5</v>
      </c>
      <c r="I14" s="4">
        <v>6.46</v>
      </c>
      <c r="J14" s="4">
        <v>6.6</v>
      </c>
      <c r="K14" s="4">
        <v>6.75</v>
      </c>
      <c r="L14" s="4">
        <v>6.42</v>
      </c>
      <c r="M14" s="4">
        <v>6.6</v>
      </c>
      <c r="N14" s="4">
        <v>6.47</v>
      </c>
      <c r="O14" s="4">
        <v>6.7</v>
      </c>
      <c r="P14" s="4">
        <v>6.64</v>
      </c>
      <c r="Q14" s="4">
        <v>6.28</v>
      </c>
      <c r="R14" s="4">
        <v>6.47</v>
      </c>
      <c r="S14" s="4">
        <v>6.9</v>
      </c>
      <c r="T14" s="4">
        <v>7</v>
      </c>
      <c r="U14" s="4">
        <v>6.78</v>
      </c>
      <c r="V14" s="4">
        <v>6.78</v>
      </c>
      <c r="W14" s="4">
        <v>6.99</v>
      </c>
      <c r="X14" s="4">
        <v>6.85</v>
      </c>
      <c r="Y14" s="4">
        <v>6.45</v>
      </c>
      <c r="Z14" s="4">
        <v>6.37</v>
      </c>
      <c r="AA14" s="4">
        <v>5.98</v>
      </c>
      <c r="AB14" s="4">
        <v>6.16</v>
      </c>
      <c r="AC14" s="4">
        <v>6.15</v>
      </c>
      <c r="AD14" s="4">
        <v>6.08</v>
      </c>
      <c r="AE14" s="4">
        <v>5.52</v>
      </c>
      <c r="AF14" s="4">
        <v>5.56</v>
      </c>
      <c r="AG14" s="4">
        <v>5.59</v>
      </c>
      <c r="AH14" s="4">
        <v>5.36</v>
      </c>
      <c r="AI14" s="4">
        <v>5.35</v>
      </c>
      <c r="AJ14" s="4">
        <v>5.27</v>
      </c>
      <c r="AK14" s="4">
        <v>5.26</v>
      </c>
      <c r="AL14" s="4">
        <v>5.05</v>
      </c>
      <c r="AM14" s="4">
        <v>5.6</v>
      </c>
      <c r="AN14" s="4">
        <v>5.5</v>
      </c>
      <c r="AO14" s="4">
        <v>5.31</v>
      </c>
      <c r="AP14" s="4">
        <v>5.76</v>
      </c>
      <c r="AQ14" s="4">
        <v>5.68</v>
      </c>
      <c r="AR14" s="4">
        <v>5.51</v>
      </c>
      <c r="AS14" s="4">
        <v>5.51</v>
      </c>
      <c r="AT14" s="4">
        <v>5.4</v>
      </c>
      <c r="AU14" s="4">
        <v>5.68</v>
      </c>
      <c r="AV14" s="4">
        <v>5.69</v>
      </c>
      <c r="AW14" s="4">
        <v>5.16</v>
      </c>
      <c r="AX14" s="4">
        <v>5.35</v>
      </c>
      <c r="AY14" s="12">
        <v>5.3</v>
      </c>
      <c r="AZ14" s="12">
        <v>5.37</v>
      </c>
      <c r="BA14" s="12">
        <v>5.42</v>
      </c>
      <c r="BB14" s="15">
        <v>5.51</v>
      </c>
      <c r="BC14" s="52">
        <v>5.81</v>
      </c>
      <c r="BD14" s="52">
        <v>5.88</v>
      </c>
      <c r="BE14" s="52">
        <v>5.83</v>
      </c>
      <c r="BF14" s="52">
        <v>6.25</v>
      </c>
      <c r="BG14" s="67">
        <v>6.3</v>
      </c>
      <c r="BH14" s="52">
        <v>6.42</v>
      </c>
      <c r="BI14" s="52">
        <v>6.85</v>
      </c>
      <c r="BJ14" s="52">
        <v>7</v>
      </c>
      <c r="BK14" s="52">
        <v>6.82</v>
      </c>
      <c r="BL14" s="52" cm="1">
        <f t="array" aca="1" ref="BL14" ca="1">_FV(EC14,"Preço")</f>
        <v>6.82</v>
      </c>
      <c r="BM14" s="69" t="s">
        <v>123</v>
      </c>
      <c r="BN14" s="36" cm="1">
        <f t="array" aca="1" ref="BN14" ca="1">_FV(EC14,"Média de volume",TRUE)</f>
        <v>283260</v>
      </c>
      <c r="BO14" s="36">
        <v>223400</v>
      </c>
      <c r="BP14" s="36" cm="1">
        <f t="array" aca="1" ref="BP14" ca="1">_FV(EC14,"Volume")</f>
        <v>223400</v>
      </c>
      <c r="BQ14" s="24" cm="1">
        <f t="array" aca="1" ref="BQ14" ca="1">_FV(EC14,"Beta")</f>
        <v>1.2541</v>
      </c>
      <c r="BR14" s="71" cm="1">
        <f t="array" aca="1" ref="BR14" ca="1">_FV(EC14,"Variação (%)",TRUE)</f>
        <v>-2.5714000000000001E-2</v>
      </c>
      <c r="BT14" s="17" cm="1">
        <f t="array" aca="1" ref="BT14" ca="1">_FV(EC14,"Baixo")</f>
        <v>6.8</v>
      </c>
      <c r="BU14" s="17" cm="1">
        <f t="array" aca="1" ref="BU14" ca="1">_FV(EC14,"Alto")</f>
        <v>7</v>
      </c>
      <c r="BV14" s="24"/>
      <c r="BW14" s="63" t="e">
        <f ca="1">SQRT(22.5*(BL14/VLOOKUP(BM14,Fundamentus!A:U,3,FALSE))*(BL14/VLOOKUP(BM14,Fundamentus!A:U,4,FALSE)))</f>
        <v>#NUM!</v>
      </c>
      <c r="BY14" s="62">
        <f t="shared" ca="1" si="24"/>
        <v>0</v>
      </c>
      <c r="BZ14" s="8"/>
      <c r="CA14" s="61">
        <f t="shared" si="25"/>
        <v>5.05</v>
      </c>
      <c r="CB14" s="61">
        <f t="shared" si="26"/>
        <v>7</v>
      </c>
      <c r="CC14" s="61">
        <f t="shared" si="27"/>
        <v>6.0933333333333355</v>
      </c>
      <c r="CD14" s="14"/>
      <c r="CE14" s="35">
        <f t="shared" si="1"/>
        <v>6.2537501480692281</v>
      </c>
      <c r="CF14" s="15">
        <f t="shared" si="28"/>
        <v>6.8400000000000318</v>
      </c>
      <c r="CG14" s="35">
        <f t="shared" si="2"/>
        <v>7.4262498519308355</v>
      </c>
      <c r="CI14" s="14"/>
      <c r="CJ14" s="17">
        <f t="shared" si="3"/>
        <v>3.7500000000000009</v>
      </c>
      <c r="CK14" s="17">
        <f t="shared" si="4"/>
        <v>4.4000000000000004</v>
      </c>
      <c r="CL14" s="17">
        <f t="shared" si="5"/>
        <v>5.7000000000000011</v>
      </c>
      <c r="CM14" s="38">
        <f t="shared" si="29"/>
        <v>6.3500000000000005</v>
      </c>
      <c r="CN14" s="17">
        <f t="shared" si="6"/>
        <v>7.6500000000000012</v>
      </c>
      <c r="CO14" s="17">
        <f t="shared" si="7"/>
        <v>8.3000000000000007</v>
      </c>
      <c r="CP14" s="17">
        <f t="shared" si="8"/>
        <v>9.6000000000000014</v>
      </c>
      <c r="CQ14" s="2" cm="1">
        <f t="array" aca="1" ref="CQ14" ca="1">MAX(_xlfn._xlws.FILTER(CJ14:CP14,CJ14:CP14&lt;BL14))</f>
        <v>6.3500000000000005</v>
      </c>
      <c r="CR14" s="2" cm="1">
        <f t="array" aca="1" ref="CR14" ca="1">MIN(_xlfn._xlws.FILTER($CJ14:$CP14,$CJ14:$CP14&gt;BL14))</f>
        <v>7.6500000000000012</v>
      </c>
      <c r="CS14" s="16">
        <f t="shared" ref="CS14:CS18" ca="1" si="46">(CR14/CQ14)-1</f>
        <v>0.20472440944881898</v>
      </c>
      <c r="CT14" s="20">
        <f t="shared" ref="CT14:CT18" ca="1" si="47">-$CS14/2</f>
        <v>-0.10236220472440949</v>
      </c>
      <c r="CU14" s="20">
        <f t="shared" ref="CU14:CU18" ca="1" si="48">-$CS14/3</f>
        <v>-6.8241469816272993E-2</v>
      </c>
      <c r="CV14" s="20">
        <f t="shared" ref="CV14:CV18" ca="1" si="49">-$CS14/5</f>
        <v>-4.0944881889763793E-2</v>
      </c>
      <c r="CW14" s="20">
        <f t="shared" ref="CW14:CW18" ca="1" si="50">-$CS14/9</f>
        <v>-2.274715660542433E-2</v>
      </c>
      <c r="CX14" s="20">
        <f t="shared" ref="CX14:CX18" ca="1" si="51">-$CS14/17</f>
        <v>-1.2042612320518764E-2</v>
      </c>
      <c r="CY14" s="20">
        <f t="shared" ref="CY14:CY18" ca="1" si="52">-$CS14/33</f>
        <v>-6.2037699832975446E-3</v>
      </c>
      <c r="CZ14" s="20">
        <f t="shared" ref="CZ14:CZ18" ca="1" si="53">-$CS14/65</f>
        <v>-3.1496062992125997E-3</v>
      </c>
      <c r="DA14" s="21">
        <f t="shared" ref="DA14:DA18" ca="1" si="54">-$CS14/65*-1</f>
        <v>3.1496062992125997E-3</v>
      </c>
      <c r="DB14" s="21">
        <f t="shared" ref="DB14:DB18" ca="1" si="55">-$CS14/33*-1</f>
        <v>6.2037699832975446E-3</v>
      </c>
      <c r="DC14" s="21">
        <f t="shared" ref="DC14:DC18" ca="1" si="56">-$CS14/17*-1</f>
        <v>1.2042612320518764E-2</v>
      </c>
      <c r="DD14" s="21">
        <f t="shared" ref="DD14:DD18" ca="1" si="57">-$CS14/9*-1</f>
        <v>2.274715660542433E-2</v>
      </c>
      <c r="DE14" s="21">
        <f t="shared" ref="DE14:DE18" ca="1" si="58">-$CS14/5*-1</f>
        <v>4.0944881889763793E-2</v>
      </c>
      <c r="DF14" s="21">
        <f t="shared" ref="DF14:DF18" ca="1" si="59">-$CS14/3*-1</f>
        <v>6.8241469816272993E-2</v>
      </c>
      <c r="DG14" s="21">
        <f t="shared" ref="DG14:DG18" ca="1" si="60">-$CS14/2*-1</f>
        <v>0.10236220472440949</v>
      </c>
      <c r="DI14" s="16" cm="1">
        <f t="array" aca="1" ref="DI14" ca="1">MAX(_xlfn._xlws.FILTER(CT14:DG14,CT14:DG14&lt;BR14))</f>
        <v>-4.0944881889763793E-2</v>
      </c>
      <c r="DJ14" s="16" cm="1">
        <f t="array" aca="1" ref="DJ14" ca="1">MIN(_xlfn._xlws.FILTER(CT14:DG14,CT14:DG14&gt;BR14))</f>
        <v>-2.274715660542433E-2</v>
      </c>
      <c r="DK14" s="2" cm="1">
        <f t="array" aca="1" ref="DK14" ca="1">_FV(EC14,"Fechamento anterior",TRUE)</f>
        <v>7</v>
      </c>
      <c r="DL14" s="28">
        <f t="shared" ca="1" si="15"/>
        <v>0.83695054945055314</v>
      </c>
      <c r="DM14" s="15">
        <f t="shared" ref="DM14:DM18" ca="1" si="61">DK14+(DK14*DI14)</f>
        <v>6.7133858267716535</v>
      </c>
      <c r="DN14" s="15">
        <f t="shared" ref="DN14:DN18" ca="1" si="62">DK14+(DK14*DJ14)</f>
        <v>6.8407699037620295</v>
      </c>
      <c r="DO14" s="9"/>
      <c r="DP14" s="9"/>
      <c r="DQ14" s="9"/>
      <c r="DR14" s="89">
        <v>6.9296795023230219E-3</v>
      </c>
      <c r="DS14" s="89">
        <v>5.3657514147977406E-3</v>
      </c>
      <c r="DT14" s="89">
        <v>6.2992125984251994E-3</v>
      </c>
      <c r="DU14" s="89">
        <v>1.8197725284339463E-2</v>
      </c>
      <c r="DV14" s="89">
        <f t="shared" ca="1" si="18"/>
        <v>1.8197725284339463E-2</v>
      </c>
      <c r="DW14" s="72">
        <f t="shared" ca="1" si="19"/>
        <v>-3.4115147209269045E-2</v>
      </c>
      <c r="DX14" s="37"/>
      <c r="DY14" s="35">
        <f t="shared" si="39"/>
        <v>0.29312492596540168</v>
      </c>
      <c r="DZ14" s="56"/>
      <c r="EA14" s="56"/>
      <c r="EC14" s="2" t="e" vm="14">
        <v>#VALUE!</v>
      </c>
      <c r="EE14" s="10" cm="1">
        <f t="array" aca="1" ref="EE14" ca="1">_FV(EC14,"Ações em circulação",TRUE)</f>
        <v>199959500</v>
      </c>
      <c r="EF14" s="18">
        <f>VLOOKUP(BM14,Fundamentus!A:U,5,FALSE)</f>
        <v>0.745</v>
      </c>
      <c r="EG14" s="2">
        <f t="shared" ca="1" si="20"/>
        <v>1830501731.5436242</v>
      </c>
      <c r="EH14" s="17">
        <v>-25077873.722147651</v>
      </c>
      <c r="EI14" s="17">
        <f t="shared" ca="1" si="21"/>
        <v>-25077873.722147651</v>
      </c>
      <c r="EK14" s="16">
        <f t="shared" ca="1" si="22"/>
        <v>0</v>
      </c>
      <c r="EL14" s="32" t="str">
        <f>IF(VLOOKUP(BM14,Fundamentus!A:U,3,FALSE)&lt;15,"Bom",IF(VLOOKUP(BM14,Fundamentus!A:U,3,FALSE)&gt;15,"Ruim","n/a"))</f>
        <v>Bom</v>
      </c>
      <c r="EM14" s="28" t="str">
        <f>IF(VLOOKUP(BM14,Fundamentus!A:U,4,FALSE)&lt;1,"Baixo",IF(VLOOKUP(BM14,Fundamentus!A:U,4,FALSE)&lt;1.5,"Moderado",IF(VLOOKUP(BM14,Fundamentus!A:U,4,FALSE)&gt;1.5,"Alto","n/a")))</f>
        <v>Moderado</v>
      </c>
      <c r="EN14" s="17" t="str">
        <f>IF(VLOOKUP(BM14,Fundamentus!A:U,8,FALSE)&lt;0,"Risco elevado",IF(VLOOKUP(BM14,Fundamentus!A:U,8,FALSE)&lt;1,"Saudável",IF(VLOOKUP(BM14,Fundamentus!A:U,8,FALSE)&lt;3,"Estável",IF(VLOOKUP(BM14,Fundamentus!A:U,8,FALSE)&gt;3,"Alerta","n/a"))))</f>
        <v>Alerta</v>
      </c>
      <c r="EO14" s="28" t="str">
        <f t="shared" si="23"/>
        <v>Ruim</v>
      </c>
      <c r="EP14" s="17" t="str">
        <f>IF(VLOOKUP(BM14,Fundamentus!A:U,12,FALSE)&lt;2,"Subvalorizada",IF(VLOOKUP(BM14,Fundamentus!A:U,12,FALSE)&lt;6,"Muita barata",IF(VLOOKUP(BM14,Fundamentus!A:U,12,FALSE)&lt;6,"Barata",IF(VLOOKUP(BM14,Fundamentus!A:U,12,FALSE)&lt;8,"Atrativa",IF(VLOOKUP(BM14,Fundamentus!A:U,12,FALSE)&gt;8,"Supervalorizada","n/a")))))</f>
        <v>Muita barata</v>
      </c>
      <c r="ER14" s="17" t="str">
        <f>IF(VLOOKUP(BM14,Fundamentus!A:U,17,FALSE)&lt;0.1,"Fraco retorno",IF(VLOOKUP(BM14,Fundamentus!A:U,17,FALSE)&gt;0.1,"Bom retorno","n/a"))</f>
        <v>Fraco retorno</v>
      </c>
      <c r="ES14" s="17" t="str">
        <f>IF(VLOOKUP(BM14,Fundamentus!A:U,16,FALSE)&lt;0.1,"Ineficiente",IF(VLOOKUP(BM14,Fundamentus!A:U,16,FALSE)&gt;0.1,"Eficiente","n/a"))</f>
        <v>Ineficiente</v>
      </c>
      <c r="ET14" s="33" t="str">
        <f>IF(VLOOKUP(BM14,Fundamentus!A:U,16,FALSE)&lt;0.1,"Oper. Ineficiente",IF(VLOOKUP(BM14,Fundamentus!A:U,16,FALSE)&gt;0.1,"Oper.Eficiente","n/a"))</f>
        <v>Oper. Ineficiente</v>
      </c>
      <c r="EU14" s="34">
        <f>VLOOKUP(BM14,Fundamentus!A:U,14,FALSE)</f>
        <v>-1.37E-2</v>
      </c>
      <c r="EV14" s="17" t="str">
        <f>IF(VLOOKUP(BM14,Fundamentus!A:U,21,FALSE)&lt;0,"Negativo",IF(VLOOKUP(BM14,Fundamentus!A:U,21,FALSE)&lt;0.05,"Fraco",IF(VLOOKUP(BM14,Fundamentus!A:U,21,FALSE)&lt;0.1,"Bom",IF(VLOOKUP(BM14,Fundamentus!A:U,21,FALSE)&gt;0.1,"Muito bom","n/a"))))</f>
        <v>Muito bom</v>
      </c>
      <c r="EX14" s="29" t="str">
        <f>IF(VLOOKUP(BM14,Fundamentus!A:U,15,FALSE)&gt;1,"Bom",IF(VLOOKUP(BM14,Fundamentus!A:U,15,FALSE)&lt;1,"Ruim","n/a"))</f>
        <v>Bom</v>
      </c>
      <c r="EY14" s="17" t="str">
        <f>IF(VLOOKUP(BM14,Fundamentus!A:U,20,FALSE)&lt;0.5,"Baixa",IF(VLOOKUP(BM14,Fundamentus!A:U,20,FALSE)&lt;1,"Moderada",IF(VLOOKUP(BM14,Fundamentus!A:U,20,FALSE)&lt;2,"Alerta",IF(VLOOKUP(BM14,Fundamentus!A:U,20,FALSE)&gt;2,"Alta","n/a"))))</f>
        <v>Alerta</v>
      </c>
    </row>
    <row r="15" spans="1:155" s="2" customFormat="1" ht="11.25" x14ac:dyDescent="0.2">
      <c r="A15" s="4">
        <v>15.67</v>
      </c>
      <c r="B15" s="4">
        <v>15.12</v>
      </c>
      <c r="C15" s="4">
        <v>14.56</v>
      </c>
      <c r="D15" s="4">
        <v>14.74</v>
      </c>
      <c r="E15" s="4">
        <v>14.61</v>
      </c>
      <c r="F15" s="4">
        <v>14.4</v>
      </c>
      <c r="G15" s="4">
        <v>14.17</v>
      </c>
      <c r="H15" s="4">
        <v>14.4</v>
      </c>
      <c r="I15" s="4">
        <v>14.43</v>
      </c>
      <c r="J15" s="4">
        <v>14.4</v>
      </c>
      <c r="K15" s="4">
        <v>14.93</v>
      </c>
      <c r="L15" s="4">
        <v>15.3</v>
      </c>
      <c r="M15" s="4">
        <v>14.8</v>
      </c>
      <c r="N15" s="4">
        <v>14.68</v>
      </c>
      <c r="O15" s="4">
        <v>14.95</v>
      </c>
      <c r="P15" s="4">
        <v>15.83</v>
      </c>
      <c r="Q15" s="4">
        <v>16.3</v>
      </c>
      <c r="R15" s="4">
        <v>16.399999999999999</v>
      </c>
      <c r="S15" s="4">
        <v>16.170000000000002</v>
      </c>
      <c r="T15" s="4">
        <v>16.16</v>
      </c>
      <c r="U15" s="4">
        <v>15.37</v>
      </c>
      <c r="V15" s="4">
        <v>15.08</v>
      </c>
      <c r="W15" s="4">
        <v>15</v>
      </c>
      <c r="X15" s="4">
        <v>14.95</v>
      </c>
      <c r="Y15" s="4">
        <v>14.78</v>
      </c>
      <c r="Z15" s="4">
        <v>15.02</v>
      </c>
      <c r="AA15" s="4">
        <v>14.12</v>
      </c>
      <c r="AB15" s="4">
        <v>14.08</v>
      </c>
      <c r="AC15" s="4">
        <v>13.54</v>
      </c>
      <c r="AD15" s="4">
        <v>13.79</v>
      </c>
      <c r="AE15" s="4">
        <v>13.21</v>
      </c>
      <c r="AF15" s="4">
        <v>13.32</v>
      </c>
      <c r="AG15" s="4">
        <v>12.94</v>
      </c>
      <c r="AH15" s="4">
        <v>12.35</v>
      </c>
      <c r="AI15" s="4">
        <v>12.42</v>
      </c>
      <c r="AJ15" s="4">
        <v>12.24</v>
      </c>
      <c r="AK15" s="4">
        <v>12.55</v>
      </c>
      <c r="AL15" s="4">
        <v>13.06</v>
      </c>
      <c r="AM15" s="4">
        <v>13.11</v>
      </c>
      <c r="AN15" s="4">
        <v>13.56</v>
      </c>
      <c r="AO15" s="4">
        <v>13.81</v>
      </c>
      <c r="AP15" s="4">
        <v>13.94</v>
      </c>
      <c r="AQ15" s="4">
        <v>13.8</v>
      </c>
      <c r="AR15" s="4">
        <v>13.37</v>
      </c>
      <c r="AS15" s="4">
        <v>13.55</v>
      </c>
      <c r="AT15" s="4">
        <v>13.74</v>
      </c>
      <c r="AU15" s="4">
        <v>14.02</v>
      </c>
      <c r="AV15" s="4">
        <v>14.38</v>
      </c>
      <c r="AW15" s="4">
        <v>14.04</v>
      </c>
      <c r="AX15" s="4">
        <v>13.96</v>
      </c>
      <c r="AY15" s="12">
        <v>14.26</v>
      </c>
      <c r="AZ15" s="12">
        <v>14.6</v>
      </c>
      <c r="BA15" s="12">
        <v>15.45</v>
      </c>
      <c r="BB15" s="15">
        <v>15.53</v>
      </c>
      <c r="BC15" s="52">
        <v>15.91</v>
      </c>
      <c r="BD15" s="52">
        <v>15.69</v>
      </c>
      <c r="BE15" s="52">
        <v>15.4</v>
      </c>
      <c r="BF15" s="52">
        <v>14.98</v>
      </c>
      <c r="BG15" s="67">
        <v>15.5</v>
      </c>
      <c r="BH15" s="52">
        <v>15.37</v>
      </c>
      <c r="BI15" s="52">
        <v>15.34</v>
      </c>
      <c r="BJ15" s="52">
        <v>15.37</v>
      </c>
      <c r="BK15" s="52">
        <v>14.44</v>
      </c>
      <c r="BL15" s="52" cm="1">
        <f t="array" aca="1" ref="BL15" ca="1">_FV(EC15,"Preço")</f>
        <v>14.44</v>
      </c>
      <c r="BM15" s="69" t="s">
        <v>12</v>
      </c>
      <c r="BN15" s="36" cm="1">
        <f t="array" aca="1" ref="BN15" ca="1">_FV(EC15,"Média de volume",TRUE)</f>
        <v>56480</v>
      </c>
      <c r="BO15" s="36">
        <v>168100</v>
      </c>
      <c r="BP15" s="36" cm="1">
        <f t="array" aca="1" ref="BP15" ca="1">_FV(EC15,"Volume")</f>
        <v>168100</v>
      </c>
      <c r="BQ15" s="24" cm="1">
        <f t="array" aca="1" ref="BQ15" ca="1">_FV(EC15,"Beta")</f>
        <v>1.1022000000000001</v>
      </c>
      <c r="BR15" s="71" cm="1">
        <f t="array" aca="1" ref="BR15" ca="1">_FV(EC15,"Variação (%)",TRUE)</f>
        <v>-1.7686999999999998E-2</v>
      </c>
      <c r="BT15" s="17" cm="1">
        <f t="array" aca="1" ref="BT15" ca="1">_FV(EC15,"Baixo")</f>
        <v>13.77</v>
      </c>
      <c r="BU15" s="17" cm="1">
        <f t="array" aca="1" ref="BU15" ca="1">_FV(EC15,"Alto")</f>
        <v>14.75</v>
      </c>
      <c r="BV15" s="24"/>
      <c r="BW15" s="63">
        <f ca="1">SQRT(22.5*(BL15/VLOOKUP(BM15,Fundamentus!A:U,3,FALSE))*(BL15/VLOOKUP(BM15,Fundamentus!A:U,4,FALSE)))</f>
        <v>20.820090680805901</v>
      </c>
      <c r="BY15" s="62">
        <f t="shared" ca="1" si="24"/>
        <v>0</v>
      </c>
      <c r="BZ15" s="8"/>
      <c r="CA15" s="61">
        <f t="shared" si="25"/>
        <v>12.24</v>
      </c>
      <c r="CB15" s="61">
        <f t="shared" si="26"/>
        <v>16.399999999999999</v>
      </c>
      <c r="CC15" s="61">
        <f t="shared" si="27"/>
        <v>14.491428571428569</v>
      </c>
      <c r="CD15" s="14"/>
      <c r="CE15" s="35">
        <f t="shared" si="1"/>
        <v>14.267783948749447</v>
      </c>
      <c r="CF15" s="15">
        <f t="shared" si="28"/>
        <v>14.991999999999962</v>
      </c>
      <c r="CG15" s="35">
        <f t="shared" si="2"/>
        <v>15.716216051250477</v>
      </c>
      <c r="CI15" s="14"/>
      <c r="CJ15" s="17">
        <f t="shared" si="3"/>
        <v>8.7800000000000029</v>
      </c>
      <c r="CK15" s="17">
        <f t="shared" si="4"/>
        <v>10.510000000000002</v>
      </c>
      <c r="CL15" s="17">
        <f t="shared" si="5"/>
        <v>12.940000000000001</v>
      </c>
      <c r="CM15" s="38">
        <f t="shared" si="29"/>
        <v>14.67</v>
      </c>
      <c r="CN15" s="17">
        <f t="shared" si="6"/>
        <v>17.100000000000001</v>
      </c>
      <c r="CO15" s="17">
        <f t="shared" si="7"/>
        <v>18.829999999999998</v>
      </c>
      <c r="CP15" s="17">
        <f t="shared" si="8"/>
        <v>21.259999999999998</v>
      </c>
      <c r="CQ15" s="2" cm="1">
        <f t="array" aca="1" ref="CQ15" ca="1">MAX(_xlfn._xlws.FILTER(CJ15:CP15,CJ15:CP15&lt;BL15))</f>
        <v>12.940000000000001</v>
      </c>
      <c r="CR15" s="2" cm="1">
        <f t="array" aca="1" ref="CR15" ca="1">MIN(_xlfn._xlws.FILTER($CJ15:$CP15,$CJ15:$CP15&gt;BL15))</f>
        <v>14.67</v>
      </c>
      <c r="CS15" s="16">
        <f t="shared" ca="1" si="46"/>
        <v>0.13369397217928891</v>
      </c>
      <c r="CT15" s="20">
        <f t="shared" ca="1" si="47"/>
        <v>-6.6846986089644456E-2</v>
      </c>
      <c r="CU15" s="20">
        <f t="shared" ca="1" si="48"/>
        <v>-4.4564657393096306E-2</v>
      </c>
      <c r="CV15" s="20">
        <f t="shared" ca="1" si="49"/>
        <v>-2.6738794435857784E-2</v>
      </c>
      <c r="CW15" s="20">
        <f t="shared" ca="1" si="50"/>
        <v>-1.4854885797698768E-2</v>
      </c>
      <c r="CX15" s="20">
        <f t="shared" ca="1" si="51"/>
        <v>-7.864351304664053E-3</v>
      </c>
      <c r="CY15" s="20">
        <f t="shared" ca="1" si="52"/>
        <v>-4.0513324902814824E-3</v>
      </c>
      <c r="CZ15" s="20">
        <f t="shared" ca="1" si="53"/>
        <v>-2.0568303412198292E-3</v>
      </c>
      <c r="DA15" s="21">
        <f t="shared" ca="1" si="54"/>
        <v>2.0568303412198292E-3</v>
      </c>
      <c r="DB15" s="21">
        <f t="shared" ca="1" si="55"/>
        <v>4.0513324902814824E-3</v>
      </c>
      <c r="DC15" s="21">
        <f t="shared" ca="1" si="56"/>
        <v>7.864351304664053E-3</v>
      </c>
      <c r="DD15" s="21">
        <f t="shared" ca="1" si="57"/>
        <v>1.4854885797698768E-2</v>
      </c>
      <c r="DE15" s="21">
        <f t="shared" ca="1" si="58"/>
        <v>2.6738794435857784E-2</v>
      </c>
      <c r="DF15" s="21">
        <f t="shared" ca="1" si="59"/>
        <v>4.4564657393096306E-2</v>
      </c>
      <c r="DG15" s="21">
        <f t="shared" ca="1" si="60"/>
        <v>6.6846986089644456E-2</v>
      </c>
      <c r="DI15" s="16" cm="1">
        <f t="array" aca="1" ref="DI15" ca="1">MAX(_xlfn._xlws.FILTER(CT15:DG15,CT15:DG15&lt;BR15))</f>
        <v>-2.6738794435857784E-2</v>
      </c>
      <c r="DJ15" s="16" cm="1">
        <f t="array" aca="1" ref="DJ15" ca="1">MIN(_xlfn._xlws.FILTER(CT15:DG15,CT15:DG15&gt;BR15))</f>
        <v>-1.4854885797698768E-2</v>
      </c>
      <c r="DK15" s="2" cm="1">
        <f t="array" aca="1" ref="DK15" ca="1">_FV(EC15,"Fechamento anterior",TRUE)</f>
        <v>14.7</v>
      </c>
      <c r="DL15" s="28">
        <f t="shared" ca="1" si="15"/>
        <v>0.76167865990326389</v>
      </c>
      <c r="DM15" s="15">
        <f t="shared" ca="1" si="61"/>
        <v>14.30693972179289</v>
      </c>
      <c r="DN15" s="15">
        <f t="shared" ca="1" si="62"/>
        <v>14.481633178773828</v>
      </c>
      <c r="DO15" s="9"/>
      <c r="DP15" s="9"/>
      <c r="DQ15" s="9"/>
      <c r="DR15" s="89">
        <v>8.9565051929144605E-3</v>
      </c>
      <c r="DS15" s="89">
        <v>5.1723536997664828E-3</v>
      </c>
      <c r="DT15" s="89">
        <v>4.7242544535940458E-3</v>
      </c>
      <c r="DU15" s="89">
        <v>1.1883908638159016E-2</v>
      </c>
      <c r="DV15" s="89">
        <f t="shared" ca="1" si="18"/>
        <v>1.1883908638159016E-2</v>
      </c>
      <c r="DW15" s="72">
        <f t="shared" ca="1" si="19"/>
        <v>-0.76220348754603728</v>
      </c>
      <c r="DX15" s="37"/>
      <c r="DY15" s="35">
        <f t="shared" si="39"/>
        <v>0.36210802562525757</v>
      </c>
      <c r="DZ15" s="56"/>
      <c r="EA15" s="56"/>
      <c r="EC15" s="2" t="e" vm="15">
        <v>#VALUE!</v>
      </c>
      <c r="EE15" s="10" cm="1">
        <f t="array" aca="1" ref="EE15" ca="1">_FV(EC15,"Ações em circulação",TRUE)</f>
        <v>3749266000</v>
      </c>
      <c r="EF15" s="18">
        <f>VLOOKUP(BM15,Fundamentus!A:U,5,FALSE)</f>
        <v>0</v>
      </c>
      <c r="EG15" s="2" t="e">
        <f t="shared" ca="1" si="20"/>
        <v>#DIV/0!</v>
      </c>
      <c r="EH15" s="17" t="e">
        <v>#DIV/0!</v>
      </c>
      <c r="EI15" s="17" t="e">
        <f t="shared" ca="1" si="21"/>
        <v>#DIV/0!</v>
      </c>
      <c r="EK15" s="16" t="e">
        <f t="shared" ca="1" si="22"/>
        <v>#DIV/0!</v>
      </c>
      <c r="EL15" s="32" t="str">
        <f>IF(VLOOKUP(BM15,Fundamentus!A:U,3,FALSE)&lt;15,"Bom",IF(VLOOKUP(BM15,Fundamentus!A:U,3,FALSE)&gt;15,"Ruim","n/a"))</f>
        <v>Bom</v>
      </c>
      <c r="EM15" s="28" t="str">
        <f>IF(VLOOKUP(BM15,Fundamentus!A:U,4,FALSE)&lt;1,"Baixo",IF(VLOOKUP(BM15,Fundamentus!A:U,4,FALSE)&lt;1.5,"Moderado",IF(VLOOKUP(BM15,Fundamentus!A:U,4,FALSE)&gt;1.5,"Alto","n/a")))</f>
        <v>Moderado</v>
      </c>
      <c r="EN15" s="17" t="str">
        <f>IF(VLOOKUP(BM15,Fundamentus!A:U,8,FALSE)&lt;0,"Risco elevado",IF(VLOOKUP(BM15,Fundamentus!A:U,8,FALSE)&lt;1,"Saudável",IF(VLOOKUP(BM15,Fundamentus!A:U,8,FALSE)&lt;3,"Estável",IF(VLOOKUP(BM15,Fundamentus!A:U,8,FALSE)&gt;3,"Alerta","n/a"))))</f>
        <v>Saudável</v>
      </c>
      <c r="EO15" s="28" t="str">
        <f t="shared" si="23"/>
        <v>Ruim</v>
      </c>
      <c r="EP15" s="17" t="str">
        <f>IF(VLOOKUP(BM15,Fundamentus!A:U,12,FALSE)&lt;2,"Subvalorizada",IF(VLOOKUP(BM15,Fundamentus!A:U,12,FALSE)&lt;6,"Muita barata",IF(VLOOKUP(BM15,Fundamentus!A:U,12,FALSE)&lt;6,"Barata",IF(VLOOKUP(BM15,Fundamentus!A:U,12,FALSE)&lt;8,"Atrativa",IF(VLOOKUP(BM15,Fundamentus!A:U,12,FALSE)&gt;8,"Supervalorizada","n/a")))))</f>
        <v>Subvalorizada</v>
      </c>
      <c r="ER15" s="17" t="str">
        <f>IF(VLOOKUP(BM15,Fundamentus!A:U,17,FALSE)&lt;0.1,"Fraco retorno",IF(VLOOKUP(BM15,Fundamentus!A:U,17,FALSE)&gt;0.1,"Bom retorno","n/a"))</f>
        <v>Bom retorno</v>
      </c>
      <c r="ES15" s="17" t="str">
        <f>IF(VLOOKUP(BM15,Fundamentus!A:U,16,FALSE)&lt;0.1,"Ineficiente",IF(VLOOKUP(BM15,Fundamentus!A:U,16,FALSE)&gt;0.1,"Eficiente","n/a"))</f>
        <v>Ineficiente</v>
      </c>
      <c r="ET15" s="33" t="str">
        <f>IF(VLOOKUP(BM15,Fundamentus!A:U,16,FALSE)&lt;0.1,"Oper. Ineficiente",IF(VLOOKUP(BM15,Fundamentus!A:U,16,FALSE)&gt;0.1,"Oper.Eficiente","n/a"))</f>
        <v>Oper. Ineficiente</v>
      </c>
      <c r="EU15" s="34">
        <f>VLOOKUP(BM15,Fundamentus!A:U,14,FALSE)</f>
        <v>0</v>
      </c>
      <c r="EV15" s="17" t="str">
        <f>IF(VLOOKUP(BM15,Fundamentus!A:U,21,FALSE)&lt;0,"Negativo",IF(VLOOKUP(BM15,Fundamentus!A:U,21,FALSE)&lt;0.05,"Fraco",IF(VLOOKUP(BM15,Fundamentus!A:U,21,FALSE)&lt;0.1,"Bom",IF(VLOOKUP(BM15,Fundamentus!A:U,21,FALSE)&gt;0.1,"Muito bom","n/a"))))</f>
        <v>Negativo</v>
      </c>
      <c r="EX15" s="29" t="str">
        <f>IF(VLOOKUP(BM15,Fundamentus!A:U,15,FALSE)&gt;1,"Bom",IF(VLOOKUP(BM15,Fundamentus!A:U,15,FALSE)&lt;1,"Ruim","n/a"))</f>
        <v>Ruim</v>
      </c>
      <c r="EY15" s="17" t="str">
        <f>IF(VLOOKUP(BM15,Fundamentus!A:U,20,FALSE)&lt;0.5,"Baixa",IF(VLOOKUP(BM15,Fundamentus!A:U,20,FALSE)&lt;1,"Moderada",IF(VLOOKUP(BM15,Fundamentus!A:U,20,FALSE)&lt;2,"Alerta",IF(VLOOKUP(BM15,Fundamentus!A:U,20,FALSE)&gt;2,"Alta","n/a"))))</f>
        <v>Baixa</v>
      </c>
    </row>
    <row r="16" spans="1:155" s="2" customFormat="1" ht="11.25" x14ac:dyDescent="0.2">
      <c r="A16" s="4">
        <v>4.68</v>
      </c>
      <c r="B16" s="4">
        <v>4.6500000000000004</v>
      </c>
      <c r="C16" s="4">
        <v>4.8099999999999996</v>
      </c>
      <c r="D16" s="4">
        <v>4.91</v>
      </c>
      <c r="E16" s="4">
        <v>4.6500000000000004</v>
      </c>
      <c r="F16" s="4">
        <v>4.71</v>
      </c>
      <c r="G16" s="4">
        <v>4.6500000000000004</v>
      </c>
      <c r="H16" s="4">
        <v>4.5</v>
      </c>
      <c r="I16" s="4">
        <v>4.55</v>
      </c>
      <c r="J16" s="4">
        <v>4.58</v>
      </c>
      <c r="K16" s="4">
        <v>4.58</v>
      </c>
      <c r="L16" s="4">
        <v>4.55</v>
      </c>
      <c r="M16" s="4">
        <v>4.45</v>
      </c>
      <c r="N16" s="4">
        <v>4.4000000000000004</v>
      </c>
      <c r="O16" s="4">
        <v>4.47</v>
      </c>
      <c r="P16" s="4">
        <v>4.46</v>
      </c>
      <c r="Q16" s="4">
        <v>4.55</v>
      </c>
      <c r="R16" s="4">
        <v>4.51</v>
      </c>
      <c r="S16" s="4">
        <v>4.5599999999999996</v>
      </c>
      <c r="T16" s="4">
        <v>5.08</v>
      </c>
      <c r="U16" s="4">
        <v>4.6399999999999997</v>
      </c>
      <c r="V16" s="4">
        <v>4.6500000000000004</v>
      </c>
      <c r="W16" s="4">
        <v>4.59</v>
      </c>
      <c r="X16" s="4">
        <v>4.43</v>
      </c>
      <c r="Y16" s="4">
        <v>4.37</v>
      </c>
      <c r="Z16" s="4">
        <v>4.45</v>
      </c>
      <c r="AA16" s="4">
        <v>4.45</v>
      </c>
      <c r="AB16" s="4">
        <v>4.4000000000000004</v>
      </c>
      <c r="AC16" s="4">
        <v>4.2699999999999996</v>
      </c>
      <c r="AD16" s="4">
        <v>4.3</v>
      </c>
      <c r="AE16" s="4">
        <v>4.3</v>
      </c>
      <c r="AF16" s="4">
        <v>4.32</v>
      </c>
      <c r="AG16" s="4">
        <v>4.25</v>
      </c>
      <c r="AH16" s="4">
        <v>4.22</v>
      </c>
      <c r="AI16" s="4">
        <v>4.0999999999999996</v>
      </c>
      <c r="AJ16" s="4">
        <v>4.2</v>
      </c>
      <c r="AK16" s="4">
        <v>4.2300000000000004</v>
      </c>
      <c r="AL16" s="4">
        <v>4.1500000000000004</v>
      </c>
      <c r="AM16" s="4">
        <v>4.1399999999999997</v>
      </c>
      <c r="AN16" s="4">
        <v>4.1900000000000004</v>
      </c>
      <c r="AO16" s="4">
        <v>4.18</v>
      </c>
      <c r="AP16" s="4">
        <v>4.17</v>
      </c>
      <c r="AQ16" s="4">
        <v>4.17</v>
      </c>
      <c r="AR16" s="4">
        <v>4.1500000000000004</v>
      </c>
      <c r="AS16" s="4">
        <v>4.13</v>
      </c>
      <c r="AT16" s="4">
        <v>4.13</v>
      </c>
      <c r="AU16" s="4">
        <v>4.2249999999999996</v>
      </c>
      <c r="AV16" s="4">
        <v>4.3600000000000003</v>
      </c>
      <c r="AW16" s="4">
        <v>4.2699999999999996</v>
      </c>
      <c r="AX16" s="4">
        <v>4.2300000000000004</v>
      </c>
      <c r="AY16" s="12">
        <v>4.4400000000000004</v>
      </c>
      <c r="AZ16" s="12">
        <v>4.45</v>
      </c>
      <c r="BA16" s="12">
        <v>4.4800000000000004</v>
      </c>
      <c r="BB16" s="15">
        <v>4.42</v>
      </c>
      <c r="BC16" s="52">
        <v>4.7</v>
      </c>
      <c r="BD16" s="52">
        <v>4.8899999999999997</v>
      </c>
      <c r="BE16" s="52">
        <v>4.88</v>
      </c>
      <c r="BF16" s="52">
        <v>4.91</v>
      </c>
      <c r="BG16" s="67">
        <v>4.95</v>
      </c>
      <c r="BH16" s="52">
        <v>4.75</v>
      </c>
      <c r="BI16" s="52">
        <v>5.05</v>
      </c>
      <c r="BJ16" s="52">
        <v>4.5999999999999996</v>
      </c>
      <c r="BK16" s="52">
        <v>4.2</v>
      </c>
      <c r="BL16" s="52" cm="1">
        <f t="array" aca="1" ref="BL16" ca="1">_FV(EC16,"Preço")</f>
        <v>4.2</v>
      </c>
      <c r="BM16" s="69" t="s">
        <v>13</v>
      </c>
      <c r="BN16" s="36" cm="1">
        <f t="array" aca="1" ref="BN16" ca="1">_FV(EC16,"Média de volume",TRUE)</f>
        <v>45320</v>
      </c>
      <c r="BO16" s="36">
        <v>68600</v>
      </c>
      <c r="BP16" s="36" cm="1">
        <f t="array" aca="1" ref="BP16" ca="1">_FV(EC16,"Volume")</f>
        <v>68600</v>
      </c>
      <c r="BQ16" s="24" cm="1">
        <f t="array" aca="1" ref="BQ16" ca="1">_FV(EC16,"Beta")</f>
        <v>0.5383</v>
      </c>
      <c r="BR16" s="71" cm="1">
        <f t="array" aca="1" ref="BR16" ca="1">_FV(EC16,"Variação (%)",TRUE)</f>
        <v>-3.2258000000000002E-2</v>
      </c>
      <c r="BT16" s="17" cm="1">
        <f t="array" aca="1" ref="BT16" ca="1">_FV(EC16,"Baixo")</f>
        <v>4.18</v>
      </c>
      <c r="BU16" s="17" cm="1">
        <f t="array" aca="1" ref="BU16" ca="1">_FV(EC16,"Alto")</f>
        <v>4.37</v>
      </c>
      <c r="BV16" s="24"/>
      <c r="BW16" s="63">
        <f ca="1">SQRT(22.5*(BL16/VLOOKUP(BM16,Fundamentus!A:U,3,FALSE))*(BL16/VLOOKUP(BM16,Fundamentus!A:U,4,FALSE)))</f>
        <v>4.1904010079403653</v>
      </c>
      <c r="BY16" s="62">
        <f t="shared" ca="1" si="24"/>
        <v>0</v>
      </c>
      <c r="BZ16" s="8"/>
      <c r="CA16" s="61">
        <f t="shared" si="25"/>
        <v>4.0999999999999996</v>
      </c>
      <c r="CB16" s="61">
        <f t="shared" si="26"/>
        <v>5.08</v>
      </c>
      <c r="CC16" s="61">
        <f t="shared" si="27"/>
        <v>4.4711904761904755</v>
      </c>
      <c r="CD16" s="14"/>
      <c r="CE16" s="35">
        <f t="shared" si="1"/>
        <v>3.9791181905891126</v>
      </c>
      <c r="CF16" s="15">
        <f t="shared" si="28"/>
        <v>4.5450000000000728</v>
      </c>
      <c r="CG16" s="35">
        <f t="shared" si="2"/>
        <v>5.1108818094110333</v>
      </c>
      <c r="CI16" s="14"/>
      <c r="CJ16" s="17">
        <f t="shared" si="3"/>
        <v>3.1266666666666652</v>
      </c>
      <c r="CK16" s="17">
        <f t="shared" si="4"/>
        <v>3.6133333333333324</v>
      </c>
      <c r="CL16" s="17">
        <f t="shared" si="5"/>
        <v>4.1066666666666656</v>
      </c>
      <c r="CM16" s="38">
        <f t="shared" si="29"/>
        <v>4.5933333333333328</v>
      </c>
      <c r="CN16" s="17">
        <f t="shared" si="6"/>
        <v>5.086666666666666</v>
      </c>
      <c r="CO16" s="17">
        <f t="shared" si="7"/>
        <v>5.5733333333333333</v>
      </c>
      <c r="CP16" s="17">
        <f t="shared" si="8"/>
        <v>6.0666666666666664</v>
      </c>
      <c r="CQ16" s="2" cm="1">
        <f t="array" aca="1" ref="CQ16" ca="1">MAX(_xlfn._xlws.FILTER(CJ16:CP16,CJ16:CP16&lt;BL16))</f>
        <v>4.1066666666666656</v>
      </c>
      <c r="CR16" s="2" cm="1">
        <f t="array" aca="1" ref="CR16" ca="1">MIN(_xlfn._xlws.FILTER($CJ16:$CP16,$CJ16:$CP16&gt;BL16))</f>
        <v>4.5933333333333328</v>
      </c>
      <c r="CS16" s="16">
        <f t="shared" ca="1" si="46"/>
        <v>0.11850649350649367</v>
      </c>
      <c r="CT16" s="20">
        <f t="shared" ca="1" si="47"/>
        <v>-5.9253246753246835E-2</v>
      </c>
      <c r="CU16" s="20">
        <f t="shared" ca="1" si="48"/>
        <v>-3.9502164502164559E-2</v>
      </c>
      <c r="CV16" s="20">
        <f t="shared" ca="1" si="49"/>
        <v>-2.3701298701298733E-2</v>
      </c>
      <c r="CW16" s="20">
        <f t="shared" ca="1" si="50"/>
        <v>-1.3167388167388185E-2</v>
      </c>
      <c r="CX16" s="20">
        <f t="shared" ca="1" si="51"/>
        <v>-6.9709702062643337E-3</v>
      </c>
      <c r="CY16" s="20">
        <f t="shared" ca="1" si="52"/>
        <v>-3.5911058638331416E-3</v>
      </c>
      <c r="CZ16" s="20">
        <f t="shared" ca="1" si="53"/>
        <v>-1.8231768231768257E-3</v>
      </c>
      <c r="DA16" s="21">
        <f t="shared" ca="1" si="54"/>
        <v>1.8231768231768257E-3</v>
      </c>
      <c r="DB16" s="21">
        <f t="shared" ca="1" si="55"/>
        <v>3.5911058638331416E-3</v>
      </c>
      <c r="DC16" s="21">
        <f t="shared" ca="1" si="56"/>
        <v>6.9709702062643337E-3</v>
      </c>
      <c r="DD16" s="21">
        <f t="shared" ca="1" si="57"/>
        <v>1.3167388167388185E-2</v>
      </c>
      <c r="DE16" s="21">
        <f t="shared" ca="1" si="58"/>
        <v>2.3701298701298733E-2</v>
      </c>
      <c r="DF16" s="21">
        <f t="shared" ca="1" si="59"/>
        <v>3.9502164502164559E-2</v>
      </c>
      <c r="DG16" s="21">
        <f t="shared" ca="1" si="60"/>
        <v>5.9253246753246835E-2</v>
      </c>
      <c r="DI16" s="16" cm="1">
        <f t="array" aca="1" ref="DI16" ca="1">MAX(_xlfn._xlws.FILTER(CT16:DG16,CT16:DG16&lt;BR16))</f>
        <v>-3.9502164502164559E-2</v>
      </c>
      <c r="DJ16" s="16" cm="1">
        <f t="array" aca="1" ref="DJ16" ca="1">MIN(_xlfn._xlws.FILTER(CT16:DG16,CT16:DG16&gt;BR16))</f>
        <v>-2.3701298701298733E-2</v>
      </c>
      <c r="DK16" s="2" cm="1">
        <f t="array" aca="1" ref="DK16" ca="1">_FV(EC16,"Fechamento anterior",TRUE)</f>
        <v>4.34</v>
      </c>
      <c r="DL16" s="28">
        <f t="shared" ca="1" si="15"/>
        <v>0.458462218294309</v>
      </c>
      <c r="DM16" s="15">
        <f t="shared" ca="1" si="61"/>
        <v>4.1685606060606055</v>
      </c>
      <c r="DN16" s="15">
        <f t="shared" ca="1" si="62"/>
        <v>4.2371363636363633</v>
      </c>
      <c r="DO16" s="9"/>
      <c r="DP16" s="9"/>
      <c r="DQ16" s="9"/>
      <c r="DR16" s="89">
        <v>5.8851823557706014E-3</v>
      </c>
      <c r="DS16" s="89">
        <v>1.1512149091766923E-2</v>
      </c>
      <c r="DT16" s="89">
        <v>9.5468472826963288E-3</v>
      </c>
      <c r="DU16" s="89">
        <v>1.5800865800865826E-2</v>
      </c>
      <c r="DV16" s="89">
        <f t="shared" ca="1" si="18"/>
        <v>1.5800865800865826E-2</v>
      </c>
      <c r="DW16" s="72">
        <f t="shared" ca="1" si="19"/>
        <v>-0.60966794525378243</v>
      </c>
      <c r="DX16" s="37"/>
      <c r="DY16" s="35">
        <f t="shared" si="39"/>
        <v>0.28294090470548006</v>
      </c>
      <c r="DZ16" s="56"/>
      <c r="EA16" s="56"/>
      <c r="EC16" s="2" t="e" vm="16">
        <v>#VALUE!</v>
      </c>
      <c r="EE16" s="10" cm="1">
        <f t="array" aca="1" ref="EE16" ca="1">_FV(EC16,"Ações em circulação",TRUE)</f>
        <v>1502786000</v>
      </c>
      <c r="EF16" s="18">
        <f>VLOOKUP(BM16,Fundamentus!A:U,5,FALSE)</f>
        <v>0.56499999999999995</v>
      </c>
      <c r="EG16" s="2">
        <f t="shared" ca="1" si="20"/>
        <v>11171152566.371683</v>
      </c>
      <c r="EH16" s="17">
        <v>760755489.76991153</v>
      </c>
      <c r="EI16" s="17">
        <f t="shared" ca="1" si="21"/>
        <v>760755489.76991153</v>
      </c>
      <c r="EK16" s="16">
        <f t="shared" ca="1" si="22"/>
        <v>0</v>
      </c>
      <c r="EL16" s="32" t="str">
        <f>IF(VLOOKUP(BM16,Fundamentus!A:U,3,FALSE)&lt;15,"Bom",IF(VLOOKUP(BM16,Fundamentus!A:U,3,FALSE)&gt;15,"Ruim","n/a"))</f>
        <v>Bom</v>
      </c>
      <c r="EM16" s="28" t="str">
        <f>IF(VLOOKUP(BM16,Fundamentus!A:U,4,FALSE)&lt;1,"Baixo",IF(VLOOKUP(BM16,Fundamentus!A:U,4,FALSE)&lt;1.5,"Moderado",IF(VLOOKUP(BM16,Fundamentus!A:U,4,FALSE)&gt;1.5,"Alto","n/a")))</f>
        <v>Alto</v>
      </c>
      <c r="EN16" s="17" t="str">
        <f>IF(VLOOKUP(BM16,Fundamentus!A:U,8,FALSE)&lt;0,"Risco elevado",IF(VLOOKUP(BM16,Fundamentus!A:U,8,FALSE)&lt;1,"Saudável",IF(VLOOKUP(BM16,Fundamentus!A:U,8,FALSE)&lt;3,"Estável",IF(VLOOKUP(BM16,Fundamentus!A:U,8,FALSE)&gt;3,"Alerta","n/a"))))</f>
        <v>Alerta</v>
      </c>
      <c r="EO16" s="28" t="str">
        <f t="shared" si="23"/>
        <v>Ruim</v>
      </c>
      <c r="EP16" s="17" t="str">
        <f>IF(VLOOKUP(BM16,Fundamentus!A:U,12,FALSE)&lt;2,"Subvalorizada",IF(VLOOKUP(BM16,Fundamentus!A:U,12,FALSE)&lt;6,"Muita barata",IF(VLOOKUP(BM16,Fundamentus!A:U,12,FALSE)&lt;6,"Barata",IF(VLOOKUP(BM16,Fundamentus!A:U,12,FALSE)&lt;8,"Atrativa",IF(VLOOKUP(BM16,Fundamentus!A:U,12,FALSE)&gt;8,"Supervalorizada","n/a")))))</f>
        <v>Muita barata</v>
      </c>
      <c r="ER16" s="17" t="str">
        <f>IF(VLOOKUP(BM16,Fundamentus!A:U,17,FALSE)&lt;0.1,"Fraco retorno",IF(VLOOKUP(BM16,Fundamentus!A:U,17,FALSE)&gt;0.1,"Bom retorno","n/a"))</f>
        <v>Bom retorno</v>
      </c>
      <c r="ES16" s="17" t="str">
        <f>IF(VLOOKUP(BM16,Fundamentus!A:U,16,FALSE)&lt;0.1,"Ineficiente",IF(VLOOKUP(BM16,Fundamentus!A:U,16,FALSE)&gt;0.1,"Eficiente","n/a"))</f>
        <v>Eficiente</v>
      </c>
      <c r="ET16" s="33" t="str">
        <f>IF(VLOOKUP(BM16,Fundamentus!A:U,16,FALSE)&lt;0.1,"Oper. Ineficiente",IF(VLOOKUP(BM16,Fundamentus!A:U,16,FALSE)&gt;0.1,"Oper.Eficiente","n/a"))</f>
        <v>Oper.Eficiente</v>
      </c>
      <c r="EU16" s="34">
        <f>VLOOKUP(BM16,Fundamentus!A:U,14,FALSE)</f>
        <v>6.8099999999999994E-2</v>
      </c>
      <c r="EV16" s="17" t="str">
        <f>IF(VLOOKUP(BM16,Fundamentus!A:U,21,FALSE)&lt;0,"Negativo",IF(VLOOKUP(BM16,Fundamentus!A:U,21,FALSE)&lt;0.05,"Fraco",IF(VLOOKUP(BM16,Fundamentus!A:U,21,FALSE)&lt;0.1,"Bom",IF(VLOOKUP(BM16,Fundamentus!A:U,21,FALSE)&gt;0.1,"Muito bom","n/a"))))</f>
        <v>Bom</v>
      </c>
      <c r="EX16" s="29" t="str">
        <f>IF(VLOOKUP(BM16,Fundamentus!A:U,15,FALSE)&gt;1,"Bom",IF(VLOOKUP(BM16,Fundamentus!A:U,15,FALSE)&lt;1,"Ruim","n/a"))</f>
        <v>Bom</v>
      </c>
      <c r="EY16" s="17" t="str">
        <f>IF(VLOOKUP(BM16,Fundamentus!A:U,20,FALSE)&lt;0.5,"Baixa",IF(VLOOKUP(BM16,Fundamentus!A:U,20,FALSE)&lt;1,"Moderada",IF(VLOOKUP(BM16,Fundamentus!A:U,20,FALSE)&lt;2,"Alerta",IF(VLOOKUP(BM16,Fundamentus!A:U,20,FALSE)&gt;2,"Alta","n/a"))))</f>
        <v>Baixa</v>
      </c>
    </row>
    <row r="17" spans="1:156" s="2" customFormat="1" ht="11.25" x14ac:dyDescent="0.2">
      <c r="A17" s="4">
        <v>9.9</v>
      </c>
      <c r="B17" s="4">
        <v>9.49</v>
      </c>
      <c r="C17" s="4">
        <v>9.17</v>
      </c>
      <c r="D17" s="4">
        <v>9.27</v>
      </c>
      <c r="E17" s="4">
        <v>8.92</v>
      </c>
      <c r="F17" s="4">
        <v>8.92</v>
      </c>
      <c r="G17" s="4">
        <v>9</v>
      </c>
      <c r="H17" s="4">
        <v>8.77</v>
      </c>
      <c r="I17" s="4">
        <v>8.83</v>
      </c>
      <c r="J17" s="4">
        <v>8.7100000000000009</v>
      </c>
      <c r="K17" s="4">
        <v>9.25</v>
      </c>
      <c r="L17" s="4">
        <v>9.4600000000000009</v>
      </c>
      <c r="M17" s="4">
        <v>9.16</v>
      </c>
      <c r="N17" s="4">
        <v>9.91</v>
      </c>
      <c r="O17" s="4">
        <v>10.1</v>
      </c>
      <c r="P17" s="4">
        <v>9.14</v>
      </c>
      <c r="Q17" s="4">
        <v>9.0299999999999994</v>
      </c>
      <c r="R17" s="4">
        <v>9.3000000000000007</v>
      </c>
      <c r="S17" s="4">
        <v>9.8000000000000007</v>
      </c>
      <c r="T17" s="4">
        <v>9.3000000000000007</v>
      </c>
      <c r="U17" s="4">
        <v>8.85</v>
      </c>
      <c r="V17" s="4">
        <v>9.6300000000000008</v>
      </c>
      <c r="W17" s="4">
        <v>9.4</v>
      </c>
      <c r="X17" s="4">
        <v>9.43</v>
      </c>
      <c r="Y17" s="4">
        <v>9.3000000000000007</v>
      </c>
      <c r="Z17" s="4">
        <v>9.1999999999999993</v>
      </c>
      <c r="AA17" s="4">
        <v>9.02</v>
      </c>
      <c r="AB17" s="4">
        <v>8.3699999999999992</v>
      </c>
      <c r="AC17" s="4">
        <v>7.9</v>
      </c>
      <c r="AD17" s="4">
        <v>8.1999999999999993</v>
      </c>
      <c r="AE17" s="4">
        <v>7.94</v>
      </c>
      <c r="AF17" s="4">
        <v>8.0500000000000007</v>
      </c>
      <c r="AG17" s="4">
        <v>7.87</v>
      </c>
      <c r="AH17" s="4">
        <v>7.4</v>
      </c>
      <c r="AI17" s="4">
        <v>7.4</v>
      </c>
      <c r="AJ17" s="4">
        <v>7.39</v>
      </c>
      <c r="AK17" s="4">
        <v>7.07</v>
      </c>
      <c r="AL17" s="4">
        <v>7.2</v>
      </c>
      <c r="AM17" s="4">
        <v>6.8</v>
      </c>
      <c r="AN17" s="4">
        <v>8.2899999999999991</v>
      </c>
      <c r="AO17" s="4">
        <v>8.33</v>
      </c>
      <c r="AP17" s="4">
        <v>9.48</v>
      </c>
      <c r="AQ17" s="4">
        <v>9.1</v>
      </c>
      <c r="AR17" s="4">
        <v>9.0399999999999991</v>
      </c>
      <c r="AS17" s="4">
        <v>9</v>
      </c>
      <c r="AT17" s="4">
        <v>9.35</v>
      </c>
      <c r="AU17" s="4">
        <v>9.0249999999999986</v>
      </c>
      <c r="AV17" s="4">
        <v>9.19</v>
      </c>
      <c r="AW17" s="4">
        <v>8.77</v>
      </c>
      <c r="AX17" s="4">
        <v>9.07</v>
      </c>
      <c r="AY17" s="12">
        <v>9</v>
      </c>
      <c r="AZ17" s="12">
        <v>8.99</v>
      </c>
      <c r="BA17" s="12">
        <v>9.18</v>
      </c>
      <c r="BB17" s="15">
        <v>9.24</v>
      </c>
      <c r="BC17" s="52">
        <v>8.73</v>
      </c>
      <c r="BD17" s="52">
        <v>8.8000000000000007</v>
      </c>
      <c r="BE17" s="52">
        <v>8.92</v>
      </c>
      <c r="BF17" s="52">
        <v>8.89</v>
      </c>
      <c r="BG17" s="67">
        <v>8.64</v>
      </c>
      <c r="BH17" s="52">
        <v>8.74</v>
      </c>
      <c r="BI17" s="52">
        <v>8.8000000000000007</v>
      </c>
      <c r="BJ17" s="52">
        <v>8.27</v>
      </c>
      <c r="BK17" s="52">
        <v>7.96</v>
      </c>
      <c r="BL17" s="52" cm="1">
        <f t="array" aca="1" ref="BL17" ca="1">_FV(EC17,"Preço")</f>
        <v>7.96</v>
      </c>
      <c r="BM17" s="69" t="s">
        <v>14</v>
      </c>
      <c r="BN17" s="36" cm="1">
        <f t="array" aca="1" ref="BN17" ca="1">_FV(EC17,"Média de volume",TRUE)</f>
        <v>9050</v>
      </c>
      <c r="BO17" s="36">
        <v>700</v>
      </c>
      <c r="BP17" s="36" cm="1">
        <f t="array" aca="1" ref="BP17" ca="1">_FV(EC17,"Volume")</f>
        <v>700</v>
      </c>
      <c r="BQ17" s="24" cm="1">
        <f t="array" aca="1" ref="BQ17" ca="1">_FV(EC17,"Beta")</f>
        <v>1.0290999999999999</v>
      </c>
      <c r="BR17" s="71" cm="1">
        <f t="array" aca="1" ref="BR17" ca="1">_FV(EC17,"Variação (%)",TRUE)</f>
        <v>-1.1180000000000001E-2</v>
      </c>
      <c r="BT17" s="17" cm="1">
        <f t="array" aca="1" ref="BT17" ca="1">_FV(EC17,"Baixo")</f>
        <v>7.82</v>
      </c>
      <c r="BU17" s="17" cm="1">
        <f t="array" aca="1" ref="BU17" ca="1">_FV(EC17,"Alto")</f>
        <v>8.09</v>
      </c>
      <c r="BV17" s="24"/>
      <c r="BW17" s="63">
        <f ca="1">SQRT(22.5*(BL17/VLOOKUP(BM17,Fundamentus!A:U,3,FALSE))*(BL17/VLOOKUP(BM17,Fundamentus!A:U,4,FALSE)))</f>
        <v>4.2170019538168537</v>
      </c>
      <c r="BY17" s="62">
        <f t="shared" ca="1" si="24"/>
        <v>0</v>
      </c>
      <c r="BZ17" s="8"/>
      <c r="CA17" s="61">
        <f t="shared" si="25"/>
        <v>6.8</v>
      </c>
      <c r="CB17" s="61">
        <f t="shared" si="26"/>
        <v>10.1</v>
      </c>
      <c r="CC17" s="61">
        <f t="shared" si="27"/>
        <v>8.8040476190476209</v>
      </c>
      <c r="CD17" s="14"/>
      <c r="CE17" s="35">
        <f t="shared" si="1"/>
        <v>7.641327335725923</v>
      </c>
      <c r="CF17" s="15">
        <f t="shared" si="28"/>
        <v>8.2989999999999782</v>
      </c>
      <c r="CG17" s="35">
        <f t="shared" si="2"/>
        <v>8.9566726642740342</v>
      </c>
      <c r="CI17" s="14"/>
      <c r="CJ17" s="17">
        <f t="shared" si="3"/>
        <v>3.3799999999999981</v>
      </c>
      <c r="CK17" s="17">
        <f t="shared" si="4"/>
        <v>5.089999999999999</v>
      </c>
      <c r="CL17" s="17">
        <f t="shared" si="5"/>
        <v>6.6799999999999979</v>
      </c>
      <c r="CM17" s="38">
        <f t="shared" si="29"/>
        <v>8.3899999999999988</v>
      </c>
      <c r="CN17" s="17">
        <f t="shared" si="6"/>
        <v>9.9799999999999969</v>
      </c>
      <c r="CO17" s="17">
        <f t="shared" si="7"/>
        <v>11.689999999999998</v>
      </c>
      <c r="CP17" s="17">
        <f t="shared" si="8"/>
        <v>13.279999999999998</v>
      </c>
      <c r="CQ17" s="2" cm="1">
        <f t="array" aca="1" ref="CQ17" ca="1">MAX(_xlfn._xlws.FILTER(CJ17:CP17,CJ17:CP17&lt;BL17))</f>
        <v>6.6799999999999979</v>
      </c>
      <c r="CR17" s="2" cm="1">
        <f t="array" aca="1" ref="CR17" ca="1">MIN(_xlfn._xlws.FILTER($CJ17:$CP17,$CJ17:$CP17&gt;BL17))</f>
        <v>8.3899999999999988</v>
      </c>
      <c r="CS17" s="16">
        <f t="shared" ca="1" si="46"/>
        <v>0.25598802395209597</v>
      </c>
      <c r="CT17" s="20">
        <f t="shared" ca="1" si="47"/>
        <v>-0.12799401197604798</v>
      </c>
      <c r="CU17" s="20">
        <f t="shared" ca="1" si="48"/>
        <v>-8.5329341317365318E-2</v>
      </c>
      <c r="CV17" s="20">
        <f t="shared" ca="1" si="49"/>
        <v>-5.1197604790419196E-2</v>
      </c>
      <c r="CW17" s="20">
        <f t="shared" ca="1" si="50"/>
        <v>-2.8443113772455106E-2</v>
      </c>
      <c r="CX17" s="20">
        <f t="shared" ca="1" si="51"/>
        <v>-1.5058119056005645E-2</v>
      </c>
      <c r="CY17" s="20">
        <f t="shared" ca="1" si="52"/>
        <v>-7.7572128470332112E-3</v>
      </c>
      <c r="CZ17" s="20">
        <f t="shared" ca="1" si="53"/>
        <v>-3.9382772915707073E-3</v>
      </c>
      <c r="DA17" s="21">
        <f t="shared" ca="1" si="54"/>
        <v>3.9382772915707073E-3</v>
      </c>
      <c r="DB17" s="21">
        <f t="shared" ca="1" si="55"/>
        <v>7.7572128470332112E-3</v>
      </c>
      <c r="DC17" s="21">
        <f t="shared" ca="1" si="56"/>
        <v>1.5058119056005645E-2</v>
      </c>
      <c r="DD17" s="21">
        <f t="shared" ca="1" si="57"/>
        <v>2.8443113772455106E-2</v>
      </c>
      <c r="DE17" s="21">
        <f t="shared" ca="1" si="58"/>
        <v>5.1197604790419196E-2</v>
      </c>
      <c r="DF17" s="21">
        <f t="shared" ca="1" si="59"/>
        <v>8.5329341317365318E-2</v>
      </c>
      <c r="DG17" s="21">
        <f t="shared" ca="1" si="60"/>
        <v>0.12799401197604798</v>
      </c>
      <c r="DI17" s="16" cm="1">
        <f t="array" aca="1" ref="DI17" ca="1">MAX(_xlfn._xlws.FILTER(CT17:DG17,CT17:DG17&lt;BR17))</f>
        <v>-1.5058119056005645E-2</v>
      </c>
      <c r="DJ17" s="16" cm="1">
        <f t="array" aca="1" ref="DJ17" ca="1">MIN(_xlfn._xlws.FILTER(CT17:DG17,CT17:DG17&gt;BR17))</f>
        <v>-7.7572128470332112E-3</v>
      </c>
      <c r="DK17" s="2" cm="1">
        <f t="array" aca="1" ref="DK17" ca="1">_FV(EC17,"Fechamento anterior",TRUE)</f>
        <v>8.0500000000000007</v>
      </c>
      <c r="DL17" s="28">
        <f t="shared" ca="1" si="15"/>
        <v>0.53116623079435998</v>
      </c>
      <c r="DM17" s="15">
        <f t="shared" ca="1" si="61"/>
        <v>7.9287821415991555</v>
      </c>
      <c r="DN17" s="15">
        <f t="shared" ca="1" si="62"/>
        <v>7.9875544365813838</v>
      </c>
      <c r="DO17" s="9"/>
      <c r="DP17" s="9"/>
      <c r="DQ17" s="9"/>
      <c r="DR17" s="89">
        <v>7.8543577659962466E-3</v>
      </c>
      <c r="DS17" s="89">
        <v>3.0023748113019847E-3</v>
      </c>
      <c r="DT17" s="89">
        <v>3.818935555462504E-3</v>
      </c>
      <c r="DU17" s="89">
        <v>7.3009062089724333E-3</v>
      </c>
      <c r="DV17" s="89">
        <f t="shared" ca="1" si="18"/>
        <v>7.3009062089724333E-3</v>
      </c>
      <c r="DW17" s="72">
        <f t="shared" ca="1" si="19"/>
        <v>-0.51545399165125616</v>
      </c>
      <c r="DX17" s="37"/>
      <c r="DY17" s="35">
        <f t="shared" si="39"/>
        <v>0.32883633213702756</v>
      </c>
      <c r="DZ17" s="56"/>
      <c r="EA17" s="56"/>
      <c r="EC17" s="2" t="e" vm="17">
        <v>#VALUE!</v>
      </c>
      <c r="EE17" s="10" cm="1">
        <f t="array" aca="1" ref="EE17" ca="1">_FV(EC17,"Ações em circulação",TRUE)</f>
        <v>101983400</v>
      </c>
      <c r="EF17" s="18">
        <f>VLOOKUP(BM17,Fundamentus!A:U,5,FALSE)</f>
        <v>1.7969999999999999</v>
      </c>
      <c r="EG17" s="2">
        <f t="shared" ca="1" si="20"/>
        <v>451746168.05787426</v>
      </c>
      <c r="EH17" s="17">
        <v>5556477.8671118533</v>
      </c>
      <c r="EI17" s="17">
        <f t="shared" ca="1" si="21"/>
        <v>5556477.8671118533</v>
      </c>
      <c r="EK17" s="16">
        <f t="shared" ca="1" si="22"/>
        <v>0</v>
      </c>
      <c r="EL17" s="32" t="str">
        <f>IF(VLOOKUP(BM17,Fundamentus!A:U,3,FALSE)&lt;15,"Bom",IF(VLOOKUP(BM17,Fundamentus!A:U,3,FALSE)&gt;15,"Ruim","n/a"))</f>
        <v>Ruim</v>
      </c>
      <c r="EM17" s="28" t="str">
        <f>IF(VLOOKUP(BM17,Fundamentus!A:U,4,FALSE)&lt;1,"Baixo",IF(VLOOKUP(BM17,Fundamentus!A:U,4,FALSE)&lt;1.5,"Moderado",IF(VLOOKUP(BM17,Fundamentus!A:U,4,FALSE)&gt;1.5,"Alto","n/a")))</f>
        <v>Baixo</v>
      </c>
      <c r="EN17" s="17" t="str">
        <f>IF(VLOOKUP(BM17,Fundamentus!A:U,8,FALSE)&lt;0,"Risco elevado",IF(VLOOKUP(BM17,Fundamentus!A:U,8,FALSE)&lt;1,"Saudável",IF(VLOOKUP(BM17,Fundamentus!A:U,8,FALSE)&lt;3,"Estável",IF(VLOOKUP(BM17,Fundamentus!A:U,8,FALSE)&gt;3,"Alerta","n/a"))))</f>
        <v>Saudável</v>
      </c>
      <c r="EO17" s="28" t="str">
        <f t="shared" si="23"/>
        <v>Bom</v>
      </c>
      <c r="EP17" s="17" t="str">
        <f>IF(VLOOKUP(BM17,Fundamentus!A:U,12,FALSE)&lt;2,"Subvalorizada",IF(VLOOKUP(BM17,Fundamentus!A:U,12,FALSE)&lt;6,"Muita barata",IF(VLOOKUP(BM17,Fundamentus!A:U,12,FALSE)&lt;6,"Barata",IF(VLOOKUP(BM17,Fundamentus!A:U,12,FALSE)&lt;8,"Atrativa",IF(VLOOKUP(BM17,Fundamentus!A:U,12,FALSE)&gt;8,"Supervalorizada","n/a")))))</f>
        <v>Supervalorizada</v>
      </c>
      <c r="ER17" s="17" t="str">
        <f>IF(VLOOKUP(BM17,Fundamentus!A:U,17,FALSE)&lt;0.1,"Fraco retorno",IF(VLOOKUP(BM17,Fundamentus!A:U,17,FALSE)&gt;0.1,"Bom retorno","n/a"))</f>
        <v>Fraco retorno</v>
      </c>
      <c r="ES17" s="17" t="str">
        <f>IF(VLOOKUP(BM17,Fundamentus!A:U,16,FALSE)&lt;0.1,"Ineficiente",IF(VLOOKUP(BM17,Fundamentus!A:U,16,FALSE)&gt;0.1,"Eficiente","n/a"))</f>
        <v>Ineficiente</v>
      </c>
      <c r="ET17" s="33" t="str">
        <f>IF(VLOOKUP(BM17,Fundamentus!A:U,16,FALSE)&lt;0.1,"Oper. Ineficiente",IF(VLOOKUP(BM17,Fundamentus!A:U,16,FALSE)&gt;0.1,"Oper.Eficiente","n/a"))</f>
        <v>Oper. Ineficiente</v>
      </c>
      <c r="EU17" s="34">
        <f>VLOOKUP(BM17,Fundamentus!A:U,14,FALSE)</f>
        <v>1.23E-2</v>
      </c>
      <c r="EV17" s="17" t="str">
        <f>IF(VLOOKUP(BM17,Fundamentus!A:U,21,FALSE)&lt;0,"Negativo",IF(VLOOKUP(BM17,Fundamentus!A:U,21,FALSE)&lt;0.05,"Fraco",IF(VLOOKUP(BM17,Fundamentus!A:U,21,FALSE)&lt;0.1,"Bom",IF(VLOOKUP(BM17,Fundamentus!A:U,21,FALSE)&gt;0.1,"Muito bom","n/a"))))</f>
        <v>Muito bom</v>
      </c>
      <c r="EX17" s="29" t="str">
        <f>IF(VLOOKUP(BM17,Fundamentus!A:U,15,FALSE)&gt;1,"Bom",IF(VLOOKUP(BM17,Fundamentus!A:U,15,FALSE)&lt;1,"Ruim","n/a"))</f>
        <v>Bom</v>
      </c>
      <c r="EY17" s="17" t="str">
        <f>IF(VLOOKUP(BM17,Fundamentus!A:U,20,FALSE)&lt;0.5,"Baixa",IF(VLOOKUP(BM17,Fundamentus!A:U,20,FALSE)&lt;1,"Moderada",IF(VLOOKUP(BM17,Fundamentus!A:U,20,FALSE)&lt;2,"Alerta",IF(VLOOKUP(BM17,Fundamentus!A:U,20,FALSE)&gt;2,"Alta","n/a"))))</f>
        <v>Baixa</v>
      </c>
    </row>
    <row r="18" spans="1:156" s="2" customFormat="1" ht="11.25" x14ac:dyDescent="0.2">
      <c r="A18" s="4">
        <v>39.89</v>
      </c>
      <c r="B18" s="4">
        <v>41.67</v>
      </c>
      <c r="C18" s="4">
        <v>36.69</v>
      </c>
      <c r="D18" s="4">
        <v>36.590000000000003</v>
      </c>
      <c r="E18" s="4">
        <v>38.76</v>
      </c>
      <c r="F18" s="4">
        <v>36.94</v>
      </c>
      <c r="G18" s="4">
        <v>34.68</v>
      </c>
      <c r="H18" s="4">
        <v>36.72</v>
      </c>
      <c r="I18" s="4">
        <v>38.08</v>
      </c>
      <c r="J18" s="4">
        <v>37.520000000000003</v>
      </c>
      <c r="K18" s="4">
        <v>38.15</v>
      </c>
      <c r="L18" s="4">
        <v>38.69</v>
      </c>
      <c r="M18" s="4">
        <v>37.64</v>
      </c>
      <c r="N18" s="4">
        <v>35.729999999999997</v>
      </c>
      <c r="O18" s="4">
        <v>36.51</v>
      </c>
      <c r="P18" s="4">
        <v>38.51</v>
      </c>
      <c r="Q18" s="4">
        <v>36.89</v>
      </c>
      <c r="R18" s="4">
        <v>39.369999999999997</v>
      </c>
      <c r="S18" s="4">
        <v>37.549999999999997</v>
      </c>
      <c r="T18" s="4">
        <v>36.700000000000003</v>
      </c>
      <c r="U18" s="4">
        <v>36.26</v>
      </c>
      <c r="V18" s="4">
        <v>36.11</v>
      </c>
      <c r="W18" s="4">
        <v>37.840000000000003</v>
      </c>
      <c r="X18" s="4">
        <v>37.619999999999997</v>
      </c>
      <c r="Y18" s="4">
        <v>36.08</v>
      </c>
      <c r="Z18" s="4">
        <v>36.15</v>
      </c>
      <c r="AA18" s="4">
        <v>35.42</v>
      </c>
      <c r="AB18" s="4">
        <v>36.17</v>
      </c>
      <c r="AC18" s="4">
        <v>37.270000000000003</v>
      </c>
      <c r="AD18" s="4">
        <v>39.42</v>
      </c>
      <c r="AE18" s="4">
        <v>38.82</v>
      </c>
      <c r="AF18" s="4">
        <v>39.03</v>
      </c>
      <c r="AG18" s="4">
        <v>38.1</v>
      </c>
      <c r="AH18" s="4">
        <v>36.86</v>
      </c>
      <c r="AI18" s="4">
        <v>35.659999999999997</v>
      </c>
      <c r="AJ18" s="4">
        <v>36.380000000000003</v>
      </c>
      <c r="AK18" s="4">
        <v>36.94</v>
      </c>
      <c r="AL18" s="4">
        <v>37.200000000000003</v>
      </c>
      <c r="AM18" s="4">
        <v>36.64</v>
      </c>
      <c r="AN18" s="4">
        <v>37.69</v>
      </c>
      <c r="AO18" s="4">
        <v>36.58</v>
      </c>
      <c r="AP18" s="4">
        <v>37.44</v>
      </c>
      <c r="AQ18" s="4">
        <v>38.39</v>
      </c>
      <c r="AR18" s="4">
        <v>35.93</v>
      </c>
      <c r="AS18" s="4">
        <v>34.630000000000003</v>
      </c>
      <c r="AT18" s="4">
        <v>35.5</v>
      </c>
      <c r="AU18" s="4">
        <v>36.604999999999997</v>
      </c>
      <c r="AV18" s="4">
        <v>37.43</v>
      </c>
      <c r="AW18" s="4">
        <v>34.549999999999997</v>
      </c>
      <c r="AX18" s="4">
        <v>31.85</v>
      </c>
      <c r="AY18" s="12">
        <v>30.85</v>
      </c>
      <c r="AZ18" s="12">
        <v>30.52</v>
      </c>
      <c r="BA18" s="12">
        <v>29.99</v>
      </c>
      <c r="BB18" s="15">
        <v>30.71</v>
      </c>
      <c r="BC18" s="52">
        <v>31.87</v>
      </c>
      <c r="BD18" s="52">
        <v>31.4</v>
      </c>
      <c r="BE18" s="52">
        <v>30.9</v>
      </c>
      <c r="BF18" s="52">
        <v>29.63</v>
      </c>
      <c r="BG18" s="67">
        <v>32.53</v>
      </c>
      <c r="BH18" s="52">
        <v>32.82</v>
      </c>
      <c r="BI18" s="52">
        <v>31.21</v>
      </c>
      <c r="BJ18" s="52">
        <v>32.119999999999997</v>
      </c>
      <c r="BK18" s="52">
        <v>32.6</v>
      </c>
      <c r="BL18" s="52" cm="1">
        <f t="array" aca="1" ref="BL18" ca="1">_FV(EC18,"Preço")</f>
        <v>32.6</v>
      </c>
      <c r="BM18" s="69" t="s">
        <v>15</v>
      </c>
      <c r="BN18" s="36" cm="1">
        <f t="array" aca="1" ref="BN18" ca="1">_FV(EC18,"Média de volume",TRUE)</f>
        <v>19979930</v>
      </c>
      <c r="BO18" s="36">
        <v>23946700</v>
      </c>
      <c r="BP18" s="36" cm="1">
        <f t="array" aca="1" ref="BP18" ca="1">_FV(EC18,"Volume")</f>
        <v>23946700</v>
      </c>
      <c r="BQ18" s="24" cm="1">
        <f t="array" aca="1" ref="BQ18" ca="1">_FV(EC18,"Beta")</f>
        <v>1.0316000000000001</v>
      </c>
      <c r="BR18" s="71" cm="1">
        <f t="array" aca="1" ref="BR18" ca="1">_FV(EC18,"Variação (%)",TRUE)</f>
        <v>1.1166000000000001E-2</v>
      </c>
      <c r="BT18" s="17" cm="1">
        <f t="array" aca="1" ref="BT18" ca="1">_FV(EC18,"Baixo")</f>
        <v>32.15</v>
      </c>
      <c r="BU18" s="17" cm="1">
        <f t="array" aca="1" ref="BU18" ca="1">_FV(EC18,"Alto")</f>
        <v>32.700000000000003</v>
      </c>
      <c r="BV18" s="24"/>
      <c r="BW18" s="63">
        <f ca="1">SQRT(22.5*(BL18/VLOOKUP(BM18,Fundamentus!A:U,3,FALSE))*(BL18/VLOOKUP(BM18,Fundamentus!A:U,4,FALSE)))</f>
        <v>50.891687178178763</v>
      </c>
      <c r="BY18" s="62">
        <f t="shared" ca="1" si="24"/>
        <v>0</v>
      </c>
      <c r="BZ18" s="8"/>
      <c r="CA18" s="61">
        <f t="shared" si="25"/>
        <v>29.63</v>
      </c>
      <c r="CB18" s="61">
        <f t="shared" si="26"/>
        <v>41.67</v>
      </c>
      <c r="CC18" s="61">
        <f t="shared" si="27"/>
        <v>35.888809523809527</v>
      </c>
      <c r="CD18" s="14"/>
      <c r="CE18" s="35">
        <f t="shared" si="1"/>
        <v>29.983293233445401</v>
      </c>
      <c r="CF18" s="15">
        <f t="shared" si="28"/>
        <v>32.199999999999989</v>
      </c>
      <c r="CG18" s="35">
        <f t="shared" si="2"/>
        <v>34.416706766554576</v>
      </c>
      <c r="CI18" s="14"/>
      <c r="CJ18" s="17">
        <f t="shared" si="3"/>
        <v>15.236666666666654</v>
      </c>
      <c r="CK18" s="17">
        <f t="shared" si="4"/>
        <v>22.433333333333326</v>
      </c>
      <c r="CL18" s="17">
        <f t="shared" si="5"/>
        <v>27.276666666666657</v>
      </c>
      <c r="CM18" s="38">
        <f t="shared" si="29"/>
        <v>34.473333333333329</v>
      </c>
      <c r="CN18" s="17">
        <f t="shared" si="6"/>
        <v>39.316666666666663</v>
      </c>
      <c r="CO18" s="17">
        <f t="shared" si="7"/>
        <v>46.513333333333335</v>
      </c>
      <c r="CP18" s="17">
        <f t="shared" si="8"/>
        <v>51.356666666666662</v>
      </c>
      <c r="CQ18" s="2" cm="1">
        <f t="array" aca="1" ref="CQ18" ca="1">MAX(_xlfn._xlws.FILTER(CJ18:CP18,CJ18:CP18&lt;BL18))</f>
        <v>27.276666666666657</v>
      </c>
      <c r="CR18" s="2" cm="1">
        <f t="array" aca="1" ref="CR18" ca="1">MIN(_xlfn._xlws.FILTER($CJ18:$CP18,$CJ18:$CP18&gt;BL18))</f>
        <v>34.473333333333329</v>
      </c>
      <c r="CS18" s="16">
        <f t="shared" ca="1" si="46"/>
        <v>0.26383966760356858</v>
      </c>
      <c r="CT18" s="20">
        <f t="shared" ca="1" si="47"/>
        <v>-0.13191983380178429</v>
      </c>
      <c r="CU18" s="20">
        <f t="shared" ca="1" si="48"/>
        <v>-8.7946555867856199E-2</v>
      </c>
      <c r="CV18" s="20">
        <f t="shared" ca="1" si="49"/>
        <v>-5.2767933520713718E-2</v>
      </c>
      <c r="CW18" s="20">
        <f t="shared" ca="1" si="50"/>
        <v>-2.9315518622618733E-2</v>
      </c>
      <c r="CX18" s="20">
        <f t="shared" ca="1" si="51"/>
        <v>-1.551998044726874E-2</v>
      </c>
      <c r="CY18" s="20">
        <f t="shared" ca="1" si="52"/>
        <v>-7.9951414425323813E-3</v>
      </c>
      <c r="CZ18" s="20">
        <f t="shared" ca="1" si="53"/>
        <v>-4.0590718092856706E-3</v>
      </c>
      <c r="DA18" s="21">
        <f t="shared" ca="1" si="54"/>
        <v>4.0590718092856706E-3</v>
      </c>
      <c r="DB18" s="21">
        <f t="shared" ca="1" si="55"/>
        <v>7.9951414425323813E-3</v>
      </c>
      <c r="DC18" s="21">
        <f t="shared" ca="1" si="56"/>
        <v>1.551998044726874E-2</v>
      </c>
      <c r="DD18" s="21">
        <f t="shared" ca="1" si="57"/>
        <v>2.9315518622618733E-2</v>
      </c>
      <c r="DE18" s="21">
        <f t="shared" ca="1" si="58"/>
        <v>5.2767933520713718E-2</v>
      </c>
      <c r="DF18" s="21">
        <f t="shared" ca="1" si="59"/>
        <v>8.7946555867856199E-2</v>
      </c>
      <c r="DG18" s="21">
        <f t="shared" ca="1" si="60"/>
        <v>0.13191983380178429</v>
      </c>
      <c r="DI18" s="16" cm="1">
        <f t="array" aca="1" ref="DI18" ca="1">MAX(_xlfn._xlws.FILTER(CT18:DG18,CT18:DG18&lt;BR18))</f>
        <v>7.9951414425323813E-3</v>
      </c>
      <c r="DJ18" s="16" cm="1">
        <f t="array" aca="1" ref="DJ18" ca="1">MIN(_xlfn._xlws.FILTER(CT18:DG18,CT18:DG18&gt;BR18))</f>
        <v>1.551998044726874E-2</v>
      </c>
      <c r="DK18" s="2" cm="1">
        <f t="array" aca="1" ref="DK18" ca="1">_FV(EC18,"Fechamento anterior",TRUE)</f>
        <v>32.24</v>
      </c>
      <c r="DL18" s="28">
        <f t="shared" ca="1" si="15"/>
        <v>0.42141920341533751</v>
      </c>
      <c r="DM18" s="15">
        <f t="shared" ca="1" si="61"/>
        <v>32.497763360107243</v>
      </c>
      <c r="DN18" s="15">
        <f t="shared" ca="1" si="62"/>
        <v>32.740364169619944</v>
      </c>
      <c r="DO18" s="9"/>
      <c r="DP18" s="9"/>
      <c r="DQ18" s="9"/>
      <c r="DR18" s="89">
        <v>8.4721876931500868E-3</v>
      </c>
      <c r="DS18" s="89">
        <v>1.3399285909161011E-2</v>
      </c>
      <c r="DT18" s="89">
        <v>8.1181436185713413E-3</v>
      </c>
      <c r="DU18" s="89">
        <v>7.5248390047363591E-3</v>
      </c>
      <c r="DV18" s="89">
        <f t="shared" ca="1" si="18"/>
        <v>7.5248390047363591E-3</v>
      </c>
      <c r="DW18" s="72">
        <f t="shared" ca="1" si="19"/>
        <v>0.18044786348612549</v>
      </c>
      <c r="DX18" s="37"/>
      <c r="DY18" s="35">
        <f t="shared" si="39"/>
        <v>1.1083533832772936</v>
      </c>
      <c r="DZ18" s="56"/>
      <c r="EA18" s="56"/>
      <c r="EC18" s="2" t="e" vm="18">
        <v>#VALUE!</v>
      </c>
      <c r="EE18" s="10" cm="1">
        <f t="array" aca="1" ref="EE18" ca="1">_FV(EC18,"Ações em circulação",TRUE)</f>
        <v>12888730000</v>
      </c>
      <c r="EF18" s="18">
        <f>VLOOKUP(BM18,Fundamentus!A:U,5,FALSE)</f>
        <v>0.84499999999999997</v>
      </c>
      <c r="EG18" s="2">
        <f t="shared" ca="1" si="20"/>
        <v>497245678106.50891</v>
      </c>
      <c r="EH18" s="17">
        <v>48630627318.816574</v>
      </c>
      <c r="EI18" s="17">
        <f t="shared" ca="1" si="21"/>
        <v>48630627318.816574</v>
      </c>
      <c r="EK18" s="16">
        <f t="shared" ca="1" si="22"/>
        <v>0</v>
      </c>
      <c r="EL18" s="32" t="str">
        <f>IF(VLOOKUP(BM18,Fundamentus!A:U,3,FALSE)&lt;15,"Bom",IF(VLOOKUP(BM18,Fundamentus!A:U,3,FALSE)&gt;15,"Ruim","n/a"))</f>
        <v>Bom</v>
      </c>
      <c r="EM18" s="28" t="str">
        <f>IF(VLOOKUP(BM18,Fundamentus!A:U,4,FALSE)&lt;1,"Baixo",IF(VLOOKUP(BM18,Fundamentus!A:U,4,FALSE)&lt;1.5,"Moderado",IF(VLOOKUP(BM18,Fundamentus!A:U,4,FALSE)&gt;1.5,"Alto","n/a")))</f>
        <v>Moderado</v>
      </c>
      <c r="EN18" s="17" t="str">
        <f>IF(VLOOKUP(BM18,Fundamentus!A:U,8,FALSE)&lt;0,"Risco elevado",IF(VLOOKUP(BM18,Fundamentus!A:U,8,FALSE)&lt;1,"Saudável",IF(VLOOKUP(BM18,Fundamentus!A:U,8,FALSE)&lt;3,"Estável",IF(VLOOKUP(BM18,Fundamentus!A:U,8,FALSE)&gt;3,"Alerta","n/a"))))</f>
        <v>Risco elevado</v>
      </c>
      <c r="EO18" s="28" t="str">
        <f t="shared" si="23"/>
        <v>Ruim</v>
      </c>
      <c r="EP18" s="17" t="str">
        <f>IF(VLOOKUP(BM18,Fundamentus!A:U,12,FALSE)&lt;2,"Subvalorizada",IF(VLOOKUP(BM18,Fundamentus!A:U,12,FALSE)&lt;6,"Muita barata",IF(VLOOKUP(BM18,Fundamentus!A:U,12,FALSE)&lt;6,"Barata",IF(VLOOKUP(BM18,Fundamentus!A:U,12,FALSE)&lt;8,"Atrativa",IF(VLOOKUP(BM18,Fundamentus!A:U,12,FALSE)&gt;8,"Supervalorizada","n/a")))))</f>
        <v>Muita barata</v>
      </c>
      <c r="ER18" s="17" t="str">
        <f>IF(VLOOKUP(BM18,Fundamentus!A:U,17,FALSE)&lt;0.1,"Fraco retorno",IF(VLOOKUP(BM18,Fundamentus!A:U,17,FALSE)&gt;0.1,"Bom retorno","n/a"))</f>
        <v>Bom retorno</v>
      </c>
      <c r="ES18" s="17" t="str">
        <f>IF(VLOOKUP(BM18,Fundamentus!A:U,16,FALSE)&lt;0.1,"Ineficiente",IF(VLOOKUP(BM18,Fundamentus!A:U,16,FALSE)&gt;0.1,"Eficiente","n/a"))</f>
        <v>Eficiente</v>
      </c>
      <c r="ET18" s="33" t="str">
        <f>IF(VLOOKUP(BM18,Fundamentus!A:U,16,FALSE)&lt;0.1,"Oper. Ineficiente",IF(VLOOKUP(BM18,Fundamentus!A:U,16,FALSE)&gt;0.1,"Oper.Eficiente","n/a"))</f>
        <v>Oper.Eficiente</v>
      </c>
      <c r="EU18" s="34">
        <f>VLOOKUP(BM18,Fundamentus!A:U,14,FALSE)</f>
        <v>9.7799999999999998E-2</v>
      </c>
      <c r="EV18" s="17" t="str">
        <f>IF(VLOOKUP(BM18,Fundamentus!A:U,21,FALSE)&lt;0,"Negativo",IF(VLOOKUP(BM18,Fundamentus!A:U,21,FALSE)&lt;0.05,"Fraco",IF(VLOOKUP(BM18,Fundamentus!A:U,21,FALSE)&lt;0.1,"Bom",IF(VLOOKUP(BM18,Fundamentus!A:U,21,FALSE)&gt;0.1,"Muito bom","n/a"))))</f>
        <v>Muito bom</v>
      </c>
      <c r="EX18" s="29" t="str">
        <f>IF(VLOOKUP(BM18,Fundamentus!A:U,15,FALSE)&gt;1,"Bom",IF(VLOOKUP(BM18,Fundamentus!A:U,15,FALSE)&lt;1,"Ruim","n/a"))</f>
        <v>Ruim</v>
      </c>
      <c r="EY18" s="17" t="str">
        <f>IF(VLOOKUP(BM18,Fundamentus!A:U,20,FALSE)&lt;0.5,"Baixa",IF(VLOOKUP(BM18,Fundamentus!A:U,20,FALSE)&lt;1,"Moderada",IF(VLOOKUP(BM18,Fundamentus!A:U,20,FALSE)&lt;2,"Alerta",IF(VLOOKUP(BM18,Fundamentus!A:U,20,FALSE)&gt;2,"Alta","n/a"))))</f>
        <v>Moderada</v>
      </c>
    </row>
    <row r="19" spans="1:156" s="2" customFormat="1" ht="11.25" x14ac:dyDescent="0.2">
      <c r="A19" s="4">
        <v>13.53</v>
      </c>
      <c r="B19" s="4">
        <v>13.45</v>
      </c>
      <c r="C19" s="4">
        <v>13.63</v>
      </c>
      <c r="D19" s="4">
        <v>12.95</v>
      </c>
      <c r="E19" s="4">
        <v>12.09</v>
      </c>
      <c r="F19" s="4">
        <v>12</v>
      </c>
      <c r="G19" s="4">
        <v>11.66</v>
      </c>
      <c r="H19" s="4">
        <v>10.79</v>
      </c>
      <c r="I19" s="4">
        <v>10.3</v>
      </c>
      <c r="J19" s="4">
        <v>11.45</v>
      </c>
      <c r="K19" s="4">
        <v>11.24</v>
      </c>
      <c r="L19" s="4">
        <v>10.54</v>
      </c>
      <c r="M19" s="4">
        <v>9.84</v>
      </c>
      <c r="N19" s="4">
        <v>10.199999999999999</v>
      </c>
      <c r="O19" s="4">
        <v>10.27</v>
      </c>
      <c r="P19" s="4">
        <v>10.25</v>
      </c>
      <c r="Q19" s="4">
        <v>9.73</v>
      </c>
      <c r="R19" s="4">
        <v>9.57</v>
      </c>
      <c r="S19" s="4">
        <v>9.4499999999999993</v>
      </c>
      <c r="T19" s="4">
        <v>8.8000000000000007</v>
      </c>
      <c r="U19" s="4">
        <v>7.7</v>
      </c>
      <c r="V19" s="4">
        <v>8.1199999999999992</v>
      </c>
      <c r="W19" s="4">
        <v>6.97</v>
      </c>
      <c r="X19" s="4">
        <v>6.72</v>
      </c>
      <c r="Y19" s="4">
        <v>7.23</v>
      </c>
      <c r="Z19" s="4">
        <v>7.27</v>
      </c>
      <c r="AA19" s="4">
        <v>7.33</v>
      </c>
      <c r="AB19" s="4">
        <v>7</v>
      </c>
      <c r="AC19" s="4">
        <v>7.06</v>
      </c>
      <c r="AD19" s="4">
        <v>7.2</v>
      </c>
      <c r="AE19" s="4">
        <v>6.6</v>
      </c>
      <c r="AF19" s="4">
        <v>6.16</v>
      </c>
      <c r="AG19" s="4">
        <v>5.75</v>
      </c>
      <c r="AH19" s="4">
        <v>5.79</v>
      </c>
      <c r="AI19" s="4">
        <v>5.73</v>
      </c>
      <c r="AJ19" s="4">
        <v>5.42</v>
      </c>
      <c r="AK19" s="4">
        <v>5.62</v>
      </c>
      <c r="AL19" s="4">
        <v>5.82</v>
      </c>
      <c r="AM19" s="4">
        <v>6.15</v>
      </c>
      <c r="AN19" s="4">
        <v>6.74</v>
      </c>
      <c r="AO19" s="4">
        <v>7.06</v>
      </c>
      <c r="AP19" s="4">
        <v>7.48</v>
      </c>
      <c r="AQ19" s="4">
        <v>6.94</v>
      </c>
      <c r="AR19" s="4">
        <v>6.67</v>
      </c>
      <c r="AS19" s="4">
        <v>6.8</v>
      </c>
      <c r="AT19" s="4">
        <v>7.55</v>
      </c>
      <c r="AU19" s="4">
        <v>7.7</v>
      </c>
      <c r="AV19" s="4">
        <v>7.88</v>
      </c>
      <c r="AW19" s="4">
        <v>7.98</v>
      </c>
      <c r="AX19" s="4">
        <v>8.3000000000000007</v>
      </c>
      <c r="AY19" s="12">
        <v>8.26</v>
      </c>
      <c r="AZ19" s="12">
        <v>9.24</v>
      </c>
      <c r="BA19" s="12">
        <v>9.19</v>
      </c>
      <c r="BB19" s="15">
        <v>9.4</v>
      </c>
      <c r="BC19" s="52">
        <v>9.64</v>
      </c>
      <c r="BD19" s="52">
        <v>10.050000000000001</v>
      </c>
      <c r="BE19" s="52">
        <v>11.22</v>
      </c>
      <c r="BF19" s="52">
        <v>11.21</v>
      </c>
      <c r="BG19" s="67">
        <v>10.91</v>
      </c>
      <c r="BH19" s="52">
        <v>10.78</v>
      </c>
      <c r="BI19" s="52">
        <v>11.04</v>
      </c>
      <c r="BJ19" s="52">
        <v>10.3</v>
      </c>
      <c r="BK19" s="52">
        <v>9.98</v>
      </c>
      <c r="BL19" s="52" cm="1">
        <f t="array" aca="1" ref="BL19" ca="1">_FV(EC19,"Preço")</f>
        <v>9.98</v>
      </c>
      <c r="BM19" s="69" t="s">
        <v>182</v>
      </c>
      <c r="BN19" s="36" cm="1">
        <f t="array" aca="1" ref="BN19" ca="1">_FV(EC19,"Média de volume",TRUE)</f>
        <v>13360680</v>
      </c>
      <c r="BO19" s="36">
        <v>9915200</v>
      </c>
      <c r="BP19" s="36" cm="1">
        <f t="array" aca="1" ref="BP19" ca="1">_FV(EC19,"Volume")</f>
        <v>9915200</v>
      </c>
      <c r="BQ19" s="24" cm="1">
        <f t="array" aca="1" ref="BQ19" ca="1">_FV(EC19,"Beta")</f>
        <v>1.4383999999999999</v>
      </c>
      <c r="BR19" s="71" cm="1">
        <f t="array" aca="1" ref="BR19" ca="1">_FV(EC19,"Variação (%)",TRUE)</f>
        <v>-2.2526999999999998E-2</v>
      </c>
      <c r="BT19" s="17" cm="1">
        <f t="array" aca="1" ref="BT19" ca="1">_FV(EC19,"Baixo")</f>
        <v>9.93</v>
      </c>
      <c r="BU19" s="17" cm="1">
        <f t="array" aca="1" ref="BU19" ca="1">_FV(EC19,"Alto")</f>
        <v>10.17</v>
      </c>
      <c r="BV19" s="24"/>
      <c r="BW19" s="63">
        <f ca="1">SQRT(22.5*(BL19/VLOOKUP(BM19,Fundamentus!A:U,3,FALSE))*(BL19/VLOOKUP(BM19,Fundamentus!A:U,4,FALSE)))</f>
        <v>6.7671498213758827</v>
      </c>
      <c r="BY19" s="62">
        <f t="shared" ca="1" si="24"/>
        <v>0</v>
      </c>
      <c r="BZ19" s="8"/>
      <c r="CA19" s="61">
        <f t="shared" si="25"/>
        <v>5.42</v>
      </c>
      <c r="CB19" s="61">
        <f t="shared" si="26"/>
        <v>13.63</v>
      </c>
      <c r="CC19" s="61">
        <f t="shared" si="27"/>
        <v>8.8841269841269828</v>
      </c>
      <c r="CD19" s="14"/>
      <c r="CE19" s="35">
        <f t="shared" si="1"/>
        <v>9.5098883781490535</v>
      </c>
      <c r="CF19" s="15">
        <f t="shared" si="28"/>
        <v>10.367999999999938</v>
      </c>
      <c r="CG19" s="35">
        <f t="shared" si="2"/>
        <v>11.226111621850823</v>
      </c>
      <c r="CI19" s="14"/>
      <c r="CJ19" s="17">
        <f t="shared" si="3"/>
        <v>-2.2733333333333352</v>
      </c>
      <c r="CK19" s="17">
        <f t="shared" si="4"/>
        <v>1.5733333333333324</v>
      </c>
      <c r="CL19" s="17">
        <f t="shared" si="5"/>
        <v>5.9366666666666656</v>
      </c>
      <c r="CM19" s="38">
        <f t="shared" si="29"/>
        <v>9.7833333333333332</v>
      </c>
      <c r="CN19" s="17">
        <f t="shared" si="6"/>
        <v>14.146666666666667</v>
      </c>
      <c r="CO19" s="17">
        <f t="shared" si="7"/>
        <v>17.993333333333332</v>
      </c>
      <c r="CP19" s="17">
        <f t="shared" si="8"/>
        <v>22.356666666666669</v>
      </c>
      <c r="CQ19" s="2" cm="1">
        <f t="array" aca="1" ref="CQ19" ca="1">MAX(_xlfn._xlws.FILTER(CJ19:CP19,CJ19:CP19&lt;BL19))</f>
        <v>9.7833333333333332</v>
      </c>
      <c r="CR19" s="2" cm="1">
        <f t="array" aca="1" ref="CR19" ca="1">MIN(_xlfn._xlws.FILTER($CJ19:$CP19,$CJ19:$CP19&gt;BL19))</f>
        <v>14.146666666666667</v>
      </c>
      <c r="CS19" s="16">
        <f t="shared" ref="CS19:CS50" ca="1" si="63">(CR19/CQ19)-1</f>
        <v>0.4459965928449745</v>
      </c>
      <c r="CT19" s="20">
        <f t="shared" ref="CT19:CT50" ca="1" si="64">-$CS19/2</f>
        <v>-0.22299829642248725</v>
      </c>
      <c r="CU19" s="20">
        <f t="shared" ref="CU19:CU50" ca="1" si="65">-$CS19/3</f>
        <v>-0.14866553094832483</v>
      </c>
      <c r="CV19" s="20">
        <f t="shared" ref="CV19:CV50" ca="1" si="66">-$CS19/5</f>
        <v>-8.9199318568994906E-2</v>
      </c>
      <c r="CW19" s="20">
        <f t="shared" ref="CW19:CW50" ca="1" si="67">-$CS19/9</f>
        <v>-4.9555176982774944E-2</v>
      </c>
      <c r="CX19" s="20">
        <f t="shared" ref="CX19:CX50" ca="1" si="68">-$CS19/17</f>
        <v>-2.6235093696763207E-2</v>
      </c>
      <c r="CY19" s="20">
        <f t="shared" ref="CY19:CY50" ca="1" si="69">-$CS19/33</f>
        <v>-1.3515048268029531E-2</v>
      </c>
      <c r="CZ19" s="20">
        <f t="shared" ref="CZ19:CZ50" ca="1" si="70">-$CS19/65</f>
        <v>-6.8614860437688384E-3</v>
      </c>
      <c r="DA19" s="21">
        <f t="shared" ref="DA19:DA50" ca="1" si="71">-$CS19/65*-1</f>
        <v>6.8614860437688384E-3</v>
      </c>
      <c r="DB19" s="21">
        <f t="shared" ref="DB19:DB50" ca="1" si="72">-$CS19/33*-1</f>
        <v>1.3515048268029531E-2</v>
      </c>
      <c r="DC19" s="21">
        <f t="shared" ref="DC19:DC50" ca="1" si="73">-$CS19/17*-1</f>
        <v>2.6235093696763207E-2</v>
      </c>
      <c r="DD19" s="21">
        <f t="shared" ref="DD19:DD50" ca="1" si="74">-$CS19/9*-1</f>
        <v>4.9555176982774944E-2</v>
      </c>
      <c r="DE19" s="21">
        <f t="shared" ref="DE19:DE50" ca="1" si="75">-$CS19/5*-1</f>
        <v>8.9199318568994906E-2</v>
      </c>
      <c r="DF19" s="21">
        <f t="shared" ref="DF19:DF50" ca="1" si="76">-$CS19/3*-1</f>
        <v>0.14866553094832483</v>
      </c>
      <c r="DG19" s="21">
        <f t="shared" ref="DG19:DG50" ca="1" si="77">-$CS19/2*-1</f>
        <v>0.22299829642248725</v>
      </c>
      <c r="DI19" s="16" cm="1">
        <f t="array" aca="1" ref="DI19" ca="1">MAX(_xlfn._xlws.FILTER(CT19:DG19,CT19:DG19&lt;BR19))</f>
        <v>-2.6235093696763207E-2</v>
      </c>
      <c r="DJ19" s="16" cm="1">
        <f t="array" aca="1" ref="DJ19" ca="1">MIN(_xlfn._xlws.FILTER(CT19:DG19,CT19:DG19&gt;BR19))</f>
        <v>-1.3515048268029531E-2</v>
      </c>
      <c r="DK19" s="2" cm="1">
        <f t="array" aca="1" ref="DK19" ca="1">_FV(EC19,"Fechamento anterior",TRUE)</f>
        <v>10.210000000000001</v>
      </c>
      <c r="DL19" s="28">
        <f t="shared" ca="1" si="15"/>
        <v>0.29152091786763218</v>
      </c>
      <c r="DM19" s="15">
        <f t="shared" ref="DM19:DM50" ca="1" si="78">DK19+(DK19*DI19)</f>
        <v>9.9421396933560491</v>
      </c>
      <c r="DN19" s="15">
        <f t="shared" ref="DN19:DN50" ca="1" si="79">DK19+(DK19*DJ19)</f>
        <v>10.072011357183419</v>
      </c>
      <c r="DO19" s="9"/>
      <c r="DP19" s="9"/>
      <c r="DQ19" s="9"/>
      <c r="DR19" s="89">
        <v>1.4286511524080581E-2</v>
      </c>
      <c r="DS19" s="89">
        <v>1.3041750260002045E-2</v>
      </c>
      <c r="DT19" s="89">
        <v>1.3722972087537677E-2</v>
      </c>
      <c r="DU19" s="89">
        <v>1.2720045428733676E-2</v>
      </c>
      <c r="DV19" s="89">
        <f t="shared" ca="1" si="18"/>
        <v>1.2720045428733676E-2</v>
      </c>
      <c r="DW19" s="72">
        <f t="shared" ca="1" si="19"/>
        <v>-0.45215562884820254</v>
      </c>
      <c r="DX19" s="37"/>
      <c r="DY19" s="35">
        <f t="shared" si="39"/>
        <v>0.42905581092544215</v>
      </c>
      <c r="DZ19" s="56"/>
      <c r="EA19" s="56"/>
      <c r="EC19" s="2" t="e" vm="19">
        <v>#VALUE!</v>
      </c>
      <c r="EE19" s="10" cm="1">
        <f t="array" aca="1" ref="EE19" ca="1">_FV(EC19,"Ações em circulação",TRUE)</f>
        <v>1352245000</v>
      </c>
      <c r="EF19" s="18">
        <f>VLOOKUP(BM19,Fundamentus!A:U,5,FALSE)</f>
        <v>0.19600000000000001</v>
      </c>
      <c r="EG19" s="2">
        <f t="shared" ca="1" si="20"/>
        <v>68854107653.061218</v>
      </c>
      <c r="EH19" s="17">
        <v>757395184.18367338</v>
      </c>
      <c r="EI19" s="17">
        <f t="shared" ca="1" si="21"/>
        <v>757395184.18367338</v>
      </c>
      <c r="EK19" s="16">
        <f t="shared" ca="1" si="22"/>
        <v>0</v>
      </c>
      <c r="EL19" s="32" t="str">
        <f>IF(VLOOKUP(BM19,Fundamentus!A:U,3,FALSE)&lt;15,"Bom",IF(VLOOKUP(BM19,Fundamentus!A:U,3,FALSE)&gt;15,"Ruim","n/a"))</f>
        <v>Ruim</v>
      </c>
      <c r="EM19" s="28" t="str">
        <f>IF(VLOOKUP(BM19,Fundamentus!A:U,4,FALSE)&lt;1,"Baixo",IF(VLOOKUP(BM19,Fundamentus!A:U,4,FALSE)&lt;1.5,"Moderado",IF(VLOOKUP(BM19,Fundamentus!A:U,4,FALSE)&gt;1.5,"Alto","n/a")))</f>
        <v>Alto</v>
      </c>
      <c r="EN19" s="17" t="str">
        <f>IF(VLOOKUP(BM19,Fundamentus!A:U,8,FALSE)&lt;0,"Risco elevado",IF(VLOOKUP(BM19,Fundamentus!A:U,8,FALSE)&lt;1,"Saudável",IF(VLOOKUP(BM19,Fundamentus!A:U,8,FALSE)&lt;3,"Estável",IF(VLOOKUP(BM19,Fundamentus!A:U,8,FALSE)&gt;3,"Alerta","n/a"))))</f>
        <v>Alerta</v>
      </c>
      <c r="EO19" s="28" t="str">
        <f t="shared" si="23"/>
        <v>Ruim</v>
      </c>
      <c r="EP19" s="17" t="str">
        <f>IF(VLOOKUP(BM19,Fundamentus!A:U,12,FALSE)&lt;2,"Subvalorizada",IF(VLOOKUP(BM19,Fundamentus!A:U,12,FALSE)&lt;6,"Muita barata",IF(VLOOKUP(BM19,Fundamentus!A:U,12,FALSE)&lt;6,"Barata",IF(VLOOKUP(BM19,Fundamentus!A:U,12,FALSE)&lt;8,"Atrativa",IF(VLOOKUP(BM19,Fundamentus!A:U,12,FALSE)&gt;8,"Supervalorizada","n/a")))))</f>
        <v>Muita barata</v>
      </c>
      <c r="ER19" s="17" t="str">
        <f>IF(VLOOKUP(BM19,Fundamentus!A:U,17,FALSE)&lt;0.1,"Fraco retorno",IF(VLOOKUP(BM19,Fundamentus!A:U,17,FALSE)&gt;0.1,"Bom retorno","n/a"))</f>
        <v>Bom retorno</v>
      </c>
      <c r="ES19" s="17" t="str">
        <f>IF(VLOOKUP(BM19,Fundamentus!A:U,16,FALSE)&lt;0.1,"Ineficiente",IF(VLOOKUP(BM19,Fundamentus!A:U,16,FALSE)&gt;0.1,"Eficiente","n/a"))</f>
        <v>Eficiente</v>
      </c>
      <c r="ET19" s="33" t="str">
        <f>IF(VLOOKUP(BM19,Fundamentus!A:U,16,FALSE)&lt;0.1,"Oper. Ineficiente",IF(VLOOKUP(BM19,Fundamentus!A:U,16,FALSE)&gt;0.1,"Oper.Eficiente","n/a"))</f>
        <v>Oper.Eficiente</v>
      </c>
      <c r="EU19" s="34">
        <f>VLOOKUP(BM19,Fundamentus!A:U,14,FALSE)</f>
        <v>1.0999999999999999E-2</v>
      </c>
      <c r="EV19" s="17" t="str">
        <f>IF(VLOOKUP(BM19,Fundamentus!A:U,21,FALSE)&lt;0,"Negativo",IF(VLOOKUP(BM19,Fundamentus!A:U,21,FALSE)&lt;0.05,"Fraco",IF(VLOOKUP(BM19,Fundamentus!A:U,21,FALSE)&lt;0.1,"Bom",IF(VLOOKUP(BM19,Fundamentus!A:U,21,FALSE)&gt;0.1,"Muito bom","n/a"))))</f>
        <v>Muito bom</v>
      </c>
      <c r="EX19" s="29" t="str">
        <f>IF(VLOOKUP(BM19,Fundamentus!A:U,15,FALSE)&gt;1,"Bom",IF(VLOOKUP(BM19,Fundamentus!A:U,15,FALSE)&lt;1,"Ruim","n/a"))</f>
        <v>Bom</v>
      </c>
      <c r="EY19" s="17" t="str">
        <f>IF(VLOOKUP(BM19,Fundamentus!A:U,20,FALSE)&lt;0.5,"Baixa",IF(VLOOKUP(BM19,Fundamentus!A:U,20,FALSE)&lt;1,"Moderada",IF(VLOOKUP(BM19,Fundamentus!A:U,20,FALSE)&lt;2,"Alerta",IF(VLOOKUP(BM19,Fundamentus!A:U,20,FALSE)&gt;2,"Alta","n/a"))))</f>
        <v>Alta</v>
      </c>
      <c r="EZ19" s="10"/>
    </row>
    <row r="20" spans="1:156" s="2" customFormat="1" ht="11.25" x14ac:dyDescent="0.2">
      <c r="A20" s="4">
        <v>6.22</v>
      </c>
      <c r="B20" s="4">
        <v>6.24</v>
      </c>
      <c r="C20" s="4">
        <v>6.31</v>
      </c>
      <c r="D20" s="4">
        <v>6.12</v>
      </c>
      <c r="E20" s="4">
        <v>6.11</v>
      </c>
      <c r="F20" s="4">
        <v>5.94</v>
      </c>
      <c r="G20" s="4">
        <v>5.9</v>
      </c>
      <c r="H20" s="4">
        <v>5.98</v>
      </c>
      <c r="I20" s="4">
        <v>5.99</v>
      </c>
      <c r="J20" s="4">
        <v>6.2</v>
      </c>
      <c r="K20" s="4">
        <v>6.51</v>
      </c>
      <c r="L20" s="4">
        <v>6.54</v>
      </c>
      <c r="M20" s="4">
        <v>6.3</v>
      </c>
      <c r="N20" s="4">
        <v>6.23</v>
      </c>
      <c r="O20" s="4">
        <v>6.56</v>
      </c>
      <c r="P20" s="4">
        <v>6.54</v>
      </c>
      <c r="Q20" s="4">
        <v>6.78</v>
      </c>
      <c r="R20" s="4">
        <v>6.69</v>
      </c>
      <c r="S20" s="4">
        <v>6.56</v>
      </c>
      <c r="T20" s="4">
        <v>6.47</v>
      </c>
      <c r="U20" s="4">
        <v>6.33</v>
      </c>
      <c r="V20" s="4">
        <v>6.18</v>
      </c>
      <c r="W20" s="4">
        <v>6.16</v>
      </c>
      <c r="X20" s="4">
        <v>6.18</v>
      </c>
      <c r="Y20" s="4">
        <v>6.05</v>
      </c>
      <c r="Z20" s="4">
        <v>6.18</v>
      </c>
      <c r="AA20" s="4">
        <v>6.14</v>
      </c>
      <c r="AB20" s="4">
        <v>6.05</v>
      </c>
      <c r="AC20" s="4">
        <v>5.82</v>
      </c>
      <c r="AD20" s="4">
        <v>5.78</v>
      </c>
      <c r="AE20" s="4">
        <v>5.6</v>
      </c>
      <c r="AF20" s="4">
        <v>5.65</v>
      </c>
      <c r="AG20" s="4">
        <v>5.57</v>
      </c>
      <c r="AH20" s="4">
        <v>5.64</v>
      </c>
      <c r="AI20" s="4">
        <v>5.72</v>
      </c>
      <c r="AJ20" s="4">
        <v>5.54</v>
      </c>
      <c r="AK20" s="4">
        <v>5.6</v>
      </c>
      <c r="AL20" s="4">
        <v>5.7</v>
      </c>
      <c r="AM20" s="4">
        <v>5.83</v>
      </c>
      <c r="AN20" s="4">
        <v>6.22</v>
      </c>
      <c r="AO20" s="4">
        <v>5.99</v>
      </c>
      <c r="AP20" s="4">
        <v>5.93</v>
      </c>
      <c r="AQ20" s="4">
        <v>5.98</v>
      </c>
      <c r="AR20" s="4">
        <v>5.9</v>
      </c>
      <c r="AS20" s="4">
        <v>5.94</v>
      </c>
      <c r="AT20" s="4">
        <v>5.82</v>
      </c>
      <c r="AU20" s="4">
        <v>5.77</v>
      </c>
      <c r="AV20" s="4">
        <v>5.6</v>
      </c>
      <c r="AW20" s="4">
        <v>5.33</v>
      </c>
      <c r="AX20" s="4">
        <v>5.3</v>
      </c>
      <c r="AY20" s="12">
        <v>5.5</v>
      </c>
      <c r="AZ20" s="12">
        <v>5.54</v>
      </c>
      <c r="BA20" s="12">
        <v>5.48</v>
      </c>
      <c r="BB20" s="15">
        <v>5.48</v>
      </c>
      <c r="BC20" s="52">
        <v>5.59</v>
      </c>
      <c r="BD20" s="52">
        <v>5.45</v>
      </c>
      <c r="BE20" s="52">
        <v>5.46</v>
      </c>
      <c r="BF20" s="52">
        <v>5.35</v>
      </c>
      <c r="BG20" s="67">
        <v>5.31</v>
      </c>
      <c r="BH20" s="52">
        <v>5.26</v>
      </c>
      <c r="BI20" s="52">
        <v>5.22</v>
      </c>
      <c r="BJ20" s="52">
        <v>5.28</v>
      </c>
      <c r="BK20" s="52">
        <v>5.19</v>
      </c>
      <c r="BL20" s="52" cm="1">
        <f t="array" aca="1" ref="BL20" ca="1">_FV(EC20,"Preço")</f>
        <v>5.19</v>
      </c>
      <c r="BM20" s="69" t="s">
        <v>17</v>
      </c>
      <c r="BN20" s="36" cm="1">
        <f t="array" aca="1" ref="BN20" ca="1">_FV(EC20,"Média de volume",TRUE)</f>
        <v>415300</v>
      </c>
      <c r="BO20" s="36">
        <v>317900</v>
      </c>
      <c r="BP20" s="36" cm="1">
        <f t="array" aca="1" ref="BP20" ca="1">_FV(EC20,"Volume")</f>
        <v>317900</v>
      </c>
      <c r="BQ20" s="24" cm="1">
        <f t="array" aca="1" ref="BQ20" ca="1">_FV(EC20,"Beta")</f>
        <v>0.58360000000000001</v>
      </c>
      <c r="BR20" s="71" cm="1">
        <f t="array" aca="1" ref="BR20" ca="1">_FV(EC20,"Variação (%)",TRUE)</f>
        <v>-9.5420000000000001E-3</v>
      </c>
      <c r="BT20" s="17" cm="1">
        <f t="array" aca="1" ref="BT20" ca="1">_FV(EC20,"Baixo")</f>
        <v>5.19</v>
      </c>
      <c r="BU20" s="17" cm="1">
        <f t="array" aca="1" ref="BU20" ca="1">_FV(EC20,"Alto")</f>
        <v>5.25</v>
      </c>
      <c r="BV20" s="24"/>
      <c r="BW20" s="63">
        <f ca="1">SQRT(22.5*(BL20/VLOOKUP(BM20,Fundamentus!A:U,3,FALSE))*(BL20/VLOOKUP(BM20,Fundamentus!A:U,4,FALSE)))</f>
        <v>8.1231367584799976</v>
      </c>
      <c r="BY20" s="62">
        <f t="shared" ca="1" si="24"/>
        <v>0</v>
      </c>
      <c r="BZ20" s="8"/>
      <c r="CA20" s="61">
        <f t="shared" si="25"/>
        <v>5.19</v>
      </c>
      <c r="CB20" s="61">
        <f t="shared" si="26"/>
        <v>6.78</v>
      </c>
      <c r="CC20" s="61">
        <f t="shared" si="27"/>
        <v>5.9015873015873019</v>
      </c>
      <c r="CD20" s="14"/>
      <c r="CE20" s="35">
        <f t="shared" si="1"/>
        <v>5.1232812627094573</v>
      </c>
      <c r="CF20" s="15">
        <f t="shared" si="28"/>
        <v>5.230000000000004</v>
      </c>
      <c r="CG20" s="35">
        <f t="shared" si="2"/>
        <v>5.3367187372905507</v>
      </c>
      <c r="CI20" s="14"/>
      <c r="CJ20" s="17">
        <f t="shared" si="3"/>
        <v>3.13</v>
      </c>
      <c r="CK20" s="17">
        <f t="shared" si="4"/>
        <v>4.16</v>
      </c>
      <c r="CL20" s="17">
        <f t="shared" si="5"/>
        <v>4.72</v>
      </c>
      <c r="CM20" s="38">
        <f t="shared" si="29"/>
        <v>5.75</v>
      </c>
      <c r="CN20" s="17">
        <f t="shared" si="6"/>
        <v>6.31</v>
      </c>
      <c r="CO20" s="17">
        <f t="shared" si="7"/>
        <v>7.34</v>
      </c>
      <c r="CP20" s="17">
        <f t="shared" si="8"/>
        <v>7.8999999999999995</v>
      </c>
      <c r="CQ20" s="2" cm="1">
        <f t="array" aca="1" ref="CQ20" ca="1">MAX(_xlfn._xlws.FILTER(CJ20:CP20,CJ20:CP20&lt;BL20))</f>
        <v>4.72</v>
      </c>
      <c r="CR20" s="2" cm="1">
        <f t="array" aca="1" ref="CR20" ca="1">MIN(_xlfn._xlws.FILTER($CJ20:$CP20,$CJ20:$CP20&gt;BL20))</f>
        <v>5.75</v>
      </c>
      <c r="CS20" s="16">
        <f t="shared" ca="1" si="63"/>
        <v>0.21822033898305082</v>
      </c>
      <c r="CT20" s="20">
        <f t="shared" ca="1" si="64"/>
        <v>-0.10911016949152541</v>
      </c>
      <c r="CU20" s="20">
        <f t="shared" ca="1" si="65"/>
        <v>-7.2740112994350278E-2</v>
      </c>
      <c r="CV20" s="20">
        <f t="shared" ca="1" si="66"/>
        <v>-4.3644067796610161E-2</v>
      </c>
      <c r="CW20" s="20">
        <f t="shared" ca="1" si="67"/>
        <v>-2.424670433145009E-2</v>
      </c>
      <c r="CX20" s="20">
        <f t="shared" ca="1" si="68"/>
        <v>-1.2836490528414754E-2</v>
      </c>
      <c r="CY20" s="20">
        <f t="shared" ca="1" si="69"/>
        <v>-6.612737544940934E-3</v>
      </c>
      <c r="CZ20" s="20">
        <f t="shared" ca="1" si="70"/>
        <v>-3.3572359843546278E-3</v>
      </c>
      <c r="DA20" s="21">
        <f t="shared" ca="1" si="71"/>
        <v>3.3572359843546278E-3</v>
      </c>
      <c r="DB20" s="21">
        <f t="shared" ca="1" si="72"/>
        <v>6.612737544940934E-3</v>
      </c>
      <c r="DC20" s="21">
        <f t="shared" ca="1" si="73"/>
        <v>1.2836490528414754E-2</v>
      </c>
      <c r="DD20" s="21">
        <f t="shared" ca="1" si="74"/>
        <v>2.424670433145009E-2</v>
      </c>
      <c r="DE20" s="21">
        <f t="shared" ca="1" si="75"/>
        <v>4.3644067796610161E-2</v>
      </c>
      <c r="DF20" s="21">
        <f t="shared" ca="1" si="76"/>
        <v>7.2740112994350278E-2</v>
      </c>
      <c r="DG20" s="21">
        <f t="shared" ca="1" si="77"/>
        <v>0.10911016949152541</v>
      </c>
      <c r="DI20" s="16" cm="1">
        <f t="array" aca="1" ref="DI20" ca="1">MAX(_xlfn._xlws.FILTER(CT20:DG20,CT20:DG20&lt;BR20))</f>
        <v>-1.2836490528414754E-2</v>
      </c>
      <c r="DJ20" s="16" cm="1">
        <f t="array" aca="1" ref="DJ20" ca="1">MIN(_xlfn._xlws.FILTER(CT20:DG20,CT20:DG20&gt;BR20))</f>
        <v>-6.612737544940934E-3</v>
      </c>
      <c r="DK20" s="2" cm="1">
        <f t="array" aca="1" ref="DK20" ca="1">_FV(EC20,"Fechamento anterior",TRUE)</f>
        <v>5.24</v>
      </c>
      <c r="DL20" s="28">
        <f t="shared" ca="1" si="15"/>
        <v>0.52934391906915057</v>
      </c>
      <c r="DM20" s="15">
        <f t="shared" ca="1" si="78"/>
        <v>5.1727367896311067</v>
      </c>
      <c r="DN20" s="15">
        <f t="shared" ca="1" si="79"/>
        <v>5.20534925526451</v>
      </c>
      <c r="DO20" s="9"/>
      <c r="DP20" s="9"/>
      <c r="DQ20" s="9"/>
      <c r="DR20" s="89">
        <v>5.3280053280053323E-3</v>
      </c>
      <c r="DS20" s="89">
        <v>6.2859578095035189E-3</v>
      </c>
      <c r="DT20" s="89">
        <v>6.6212268743914256E-3</v>
      </c>
      <c r="DU20" s="89">
        <v>6.1373225930187909E-3</v>
      </c>
      <c r="DV20" s="89">
        <f t="shared" ca="1" si="18"/>
        <v>6.2237529834738197E-3</v>
      </c>
      <c r="DW20" s="72">
        <f t="shared" ca="1" si="19"/>
        <v>-0.37481702853269089</v>
      </c>
      <c r="DX20" s="37"/>
      <c r="DY20" s="35">
        <f t="shared" si="39"/>
        <v>5.3359368645273554E-2</v>
      </c>
      <c r="DZ20" s="56"/>
      <c r="EA20" s="56"/>
      <c r="EC20" s="2" t="e" vm="20">
        <v>#VALUE!</v>
      </c>
      <c r="EE20" s="10" cm="1">
        <f t="array" aca="1" ref="EE20" ca="1">_FV(EC20,"Ações em circulação",TRUE)</f>
        <v>357374800</v>
      </c>
      <c r="EF20" s="18">
        <f>VLOOKUP(BM20,Fundamentus!A:U,5,FALSE)</f>
        <v>0.95599999999999996</v>
      </c>
      <c r="EG20" s="2">
        <f t="shared" ca="1" si="20"/>
        <v>1940141435.1464438</v>
      </c>
      <c r="EH20" s="17">
        <v>260366980.59665278</v>
      </c>
      <c r="EI20" s="17">
        <f t="shared" ca="1" si="21"/>
        <v>260366980.59665278</v>
      </c>
      <c r="EK20" s="16">
        <f t="shared" ca="1" si="22"/>
        <v>0</v>
      </c>
      <c r="EL20" s="32" t="str">
        <f>IF(VLOOKUP(BM20,Fundamentus!A:U,3,FALSE)&lt;15,"Bom",IF(VLOOKUP(BM20,Fundamentus!A:U,3,FALSE)&gt;15,"Ruim","n/a"))</f>
        <v>Bom</v>
      </c>
      <c r="EM20" s="28" t="str">
        <f>IF(VLOOKUP(BM20,Fundamentus!A:U,4,FALSE)&lt;1,"Baixo",IF(VLOOKUP(BM20,Fundamentus!A:U,4,FALSE)&lt;1.5,"Moderado",IF(VLOOKUP(BM20,Fundamentus!A:U,4,FALSE)&gt;1.5,"Alto","n/a")))</f>
        <v>Moderado</v>
      </c>
      <c r="EN20" s="17" t="str">
        <f>IF(VLOOKUP(BM20,Fundamentus!A:U,8,FALSE)&lt;0,"Risco elevado",IF(VLOOKUP(BM20,Fundamentus!A:U,8,FALSE)&lt;1,"Saudável",IF(VLOOKUP(BM20,Fundamentus!A:U,8,FALSE)&lt;3,"Estável",IF(VLOOKUP(BM20,Fundamentus!A:U,8,FALSE)&gt;3,"Alerta","n/a"))))</f>
        <v>Estável</v>
      </c>
      <c r="EO20" s="28" t="str">
        <f t="shared" si="23"/>
        <v>Ruim</v>
      </c>
      <c r="EP20" s="17" t="str">
        <f>IF(VLOOKUP(BM20,Fundamentus!A:U,12,FALSE)&lt;2,"Subvalorizada",IF(VLOOKUP(BM20,Fundamentus!A:U,12,FALSE)&lt;6,"Muita barata",IF(VLOOKUP(BM20,Fundamentus!A:U,12,FALSE)&lt;6,"Barata",IF(VLOOKUP(BM20,Fundamentus!A:U,12,FALSE)&lt;8,"Atrativa",IF(VLOOKUP(BM20,Fundamentus!A:U,12,FALSE)&gt;8,"Supervalorizada","n/a")))))</f>
        <v>Atrativa</v>
      </c>
      <c r="ER20" s="17" t="str">
        <f>IF(VLOOKUP(BM20,Fundamentus!A:U,17,FALSE)&lt;0.1,"Fraco retorno",IF(VLOOKUP(BM20,Fundamentus!A:U,17,FALSE)&gt;0.1,"Bom retorno","n/a"))</f>
        <v>Bom retorno</v>
      </c>
      <c r="ES20" s="17" t="str">
        <f>IF(VLOOKUP(BM20,Fundamentus!A:U,16,FALSE)&lt;0.1,"Ineficiente",IF(VLOOKUP(BM20,Fundamentus!A:U,16,FALSE)&gt;0.1,"Eficiente","n/a"))</f>
        <v>Eficiente</v>
      </c>
      <c r="ET20" s="33" t="str">
        <f>IF(VLOOKUP(BM20,Fundamentus!A:U,16,FALSE)&lt;0.1,"Oper. Ineficiente",IF(VLOOKUP(BM20,Fundamentus!A:U,16,FALSE)&gt;0.1,"Oper.Eficiente","n/a"))</f>
        <v>Oper.Eficiente</v>
      </c>
      <c r="EU20" s="34">
        <f>VLOOKUP(BM20,Fundamentus!A:U,14,FALSE)</f>
        <v>0.13420000000000001</v>
      </c>
      <c r="EV20" s="17" t="str">
        <f>IF(VLOOKUP(BM20,Fundamentus!A:U,21,FALSE)&lt;0,"Negativo",IF(VLOOKUP(BM20,Fundamentus!A:U,21,FALSE)&lt;0.05,"Fraco",IF(VLOOKUP(BM20,Fundamentus!A:U,21,FALSE)&lt;0.1,"Bom",IF(VLOOKUP(BM20,Fundamentus!A:U,21,FALSE)&gt;0.1,"Muito bom","n/a"))))</f>
        <v>Muito bom</v>
      </c>
      <c r="EX20" s="29" t="str">
        <f>IF(VLOOKUP(BM20,Fundamentus!A:U,15,FALSE)&gt;1,"Bom",IF(VLOOKUP(BM20,Fundamentus!A:U,15,FALSE)&lt;1,"Ruim","n/a"))</f>
        <v>Bom</v>
      </c>
      <c r="EY20" s="17" t="str">
        <f>IF(VLOOKUP(BM20,Fundamentus!A:U,20,FALSE)&lt;0.5,"Baixa",IF(VLOOKUP(BM20,Fundamentus!A:U,20,FALSE)&lt;1,"Moderada",IF(VLOOKUP(BM20,Fundamentus!A:U,20,FALSE)&lt;2,"Alerta",IF(VLOOKUP(BM20,Fundamentus!A:U,20,FALSE)&gt;2,"Alta","n/a"))))</f>
        <v>Moderada</v>
      </c>
    </row>
    <row r="21" spans="1:156" s="2" customFormat="1" ht="11.25" x14ac:dyDescent="0.2">
      <c r="A21" s="4">
        <v>31.53</v>
      </c>
      <c r="B21" s="4">
        <v>32.67</v>
      </c>
      <c r="C21" s="4">
        <v>32.46</v>
      </c>
      <c r="D21" s="4">
        <v>32.770000000000003</v>
      </c>
      <c r="E21" s="4">
        <v>31.76</v>
      </c>
      <c r="F21" s="4">
        <v>31.09</v>
      </c>
      <c r="G21" s="4">
        <v>30.52</v>
      </c>
      <c r="H21" s="4">
        <v>31.01</v>
      </c>
      <c r="I21" s="4">
        <v>32.65</v>
      </c>
      <c r="J21" s="4">
        <v>33.5</v>
      </c>
      <c r="K21" s="4">
        <v>34.200000000000003</v>
      </c>
      <c r="L21" s="4">
        <v>33.29</v>
      </c>
      <c r="M21" s="4">
        <v>33.1</v>
      </c>
      <c r="N21" s="4">
        <v>33.5</v>
      </c>
      <c r="O21" s="4">
        <v>33.79</v>
      </c>
      <c r="P21" s="4">
        <v>31.36</v>
      </c>
      <c r="Q21" s="4">
        <v>31.45</v>
      </c>
      <c r="R21" s="4">
        <v>32.06</v>
      </c>
      <c r="S21" s="4">
        <v>30.7</v>
      </c>
      <c r="T21" s="4">
        <v>31.31</v>
      </c>
      <c r="U21" s="4">
        <v>31.17</v>
      </c>
      <c r="V21" s="4">
        <v>30.3</v>
      </c>
      <c r="W21" s="4">
        <v>30.46</v>
      </c>
      <c r="X21" s="4">
        <v>30.23</v>
      </c>
      <c r="Y21" s="4">
        <v>30.36</v>
      </c>
      <c r="Z21" s="4">
        <v>30.2</v>
      </c>
      <c r="AA21" s="4">
        <v>30.06</v>
      </c>
      <c r="AB21" s="4">
        <v>30.31</v>
      </c>
      <c r="AC21" s="4">
        <v>27.94</v>
      </c>
      <c r="AD21" s="4">
        <v>27.94</v>
      </c>
      <c r="AE21" s="4">
        <v>27.13</v>
      </c>
      <c r="AF21" s="4">
        <v>27.73</v>
      </c>
      <c r="AG21" s="4">
        <v>27.15</v>
      </c>
      <c r="AH21" s="4">
        <v>27.3</v>
      </c>
      <c r="AI21" s="4">
        <v>27.58</v>
      </c>
      <c r="AJ21" s="4">
        <v>26.18</v>
      </c>
      <c r="AK21" s="4">
        <v>26.56</v>
      </c>
      <c r="AL21" s="4">
        <v>27.29</v>
      </c>
      <c r="AM21" s="4">
        <v>27.57</v>
      </c>
      <c r="AN21" s="4">
        <v>28.35</v>
      </c>
      <c r="AO21" s="4">
        <v>27.7</v>
      </c>
      <c r="AP21" s="4">
        <v>28.19</v>
      </c>
      <c r="AQ21" s="4">
        <v>28.18</v>
      </c>
      <c r="AR21" s="4">
        <v>27.61</v>
      </c>
      <c r="AS21" s="4">
        <v>29.42</v>
      </c>
      <c r="AT21" s="4">
        <v>30.16</v>
      </c>
      <c r="AU21" s="4">
        <v>28.97</v>
      </c>
      <c r="AV21" s="4">
        <v>28.35</v>
      </c>
      <c r="AW21" s="4">
        <v>28.55</v>
      </c>
      <c r="AX21" s="4">
        <v>29.56</v>
      </c>
      <c r="AY21" s="12">
        <v>30.46</v>
      </c>
      <c r="AZ21" s="12">
        <v>30.79</v>
      </c>
      <c r="BA21" s="12">
        <v>29.62</v>
      </c>
      <c r="BB21" s="15">
        <v>29.15</v>
      </c>
      <c r="BC21" s="52">
        <v>28.83</v>
      </c>
      <c r="BD21" s="52">
        <v>30.66</v>
      </c>
      <c r="BE21" s="52">
        <v>32.1</v>
      </c>
      <c r="BF21" s="52">
        <v>30.5</v>
      </c>
      <c r="BG21" s="67">
        <v>30.25</v>
      </c>
      <c r="BH21" s="52">
        <v>29.26</v>
      </c>
      <c r="BI21" s="52">
        <v>29.55</v>
      </c>
      <c r="BJ21" s="52">
        <v>30.01</v>
      </c>
      <c r="BK21" s="52">
        <v>29.2</v>
      </c>
      <c r="BL21" s="52" cm="1">
        <f t="array" aca="1" ref="BL21" ca="1">_FV(EC21,"Preço")</f>
        <v>29.2</v>
      </c>
      <c r="BM21" s="69" t="s">
        <v>18</v>
      </c>
      <c r="BN21" s="36" cm="1">
        <f t="array" aca="1" ref="BN21" ca="1">_FV(EC21,"Média de volume",TRUE)</f>
        <v>210050</v>
      </c>
      <c r="BO21" s="36">
        <v>148800</v>
      </c>
      <c r="BP21" s="36" cm="1">
        <f t="array" aca="1" ref="BP21" ca="1">_FV(EC21,"Volume")</f>
        <v>148800</v>
      </c>
      <c r="BQ21" s="24" cm="1">
        <f t="array" aca="1" ref="BQ21" ca="1">_FV(EC21,"Beta")</f>
        <v>0.76439999999999997</v>
      </c>
      <c r="BR21" s="71" cm="1">
        <f t="array" aca="1" ref="BR21" ca="1">_FV(EC21,"Variação (%)",TRUE)</f>
        <v>-2.112E-2</v>
      </c>
      <c r="BT21" s="17" cm="1">
        <f t="array" aca="1" ref="BT21" ca="1">_FV(EC21,"Baixo")</f>
        <v>29.2</v>
      </c>
      <c r="BU21" s="17" cm="1">
        <f t="array" aca="1" ref="BU21" ca="1">_FV(EC21,"Alto")</f>
        <v>29.89</v>
      </c>
      <c r="BV21" s="24"/>
      <c r="BW21" s="63">
        <f ca="1">SQRT(22.5*(BL21/VLOOKUP(BM21,Fundamentus!A:U,3,FALSE))*(BL21/VLOOKUP(BM21,Fundamentus!A:U,4,FALSE)))</f>
        <v>22.489590317552334</v>
      </c>
      <c r="BY21" s="62">
        <f t="shared" ca="1" si="24"/>
        <v>0</v>
      </c>
      <c r="BZ21" s="8"/>
      <c r="CA21" s="61">
        <f t="shared" si="25"/>
        <v>26.18</v>
      </c>
      <c r="CB21" s="61">
        <f t="shared" si="26"/>
        <v>34.200000000000003</v>
      </c>
      <c r="CC21" s="61">
        <f t="shared" si="27"/>
        <v>30.057142857142853</v>
      </c>
      <c r="CD21" s="14"/>
      <c r="CE21" s="35">
        <f t="shared" si="1"/>
        <v>28.535621469965214</v>
      </c>
      <c r="CF21" s="15">
        <f t="shared" si="28"/>
        <v>29.518999999999977</v>
      </c>
      <c r="CG21" s="35">
        <f t="shared" si="2"/>
        <v>30.50237853003474</v>
      </c>
      <c r="CI21" s="14"/>
      <c r="CJ21" s="17">
        <f t="shared" si="3"/>
        <v>18.039999999999992</v>
      </c>
      <c r="CK21" s="17">
        <f t="shared" si="4"/>
        <v>22.109999999999996</v>
      </c>
      <c r="CL21" s="17">
        <f t="shared" si="5"/>
        <v>26.059999999999995</v>
      </c>
      <c r="CM21" s="38">
        <f t="shared" si="29"/>
        <v>30.13</v>
      </c>
      <c r="CN21" s="17">
        <f t="shared" si="6"/>
        <v>34.08</v>
      </c>
      <c r="CO21" s="17">
        <f t="shared" si="7"/>
        <v>38.150000000000006</v>
      </c>
      <c r="CP21" s="17">
        <f t="shared" si="8"/>
        <v>42.1</v>
      </c>
      <c r="CQ21" s="2" cm="1">
        <f t="array" aca="1" ref="CQ21" ca="1">MAX(_xlfn._xlws.FILTER(CJ21:CP21,CJ21:CP21&lt;BL21))</f>
        <v>26.059999999999995</v>
      </c>
      <c r="CR21" s="2" cm="1">
        <f t="array" aca="1" ref="CR21" ca="1">MIN(_xlfn._xlws.FILTER($CJ21:$CP21,$CJ21:$CP21&gt;BL21))</f>
        <v>30.13</v>
      </c>
      <c r="CS21" s="16">
        <f t="shared" ca="1" si="63"/>
        <v>0.15617805065234092</v>
      </c>
      <c r="CT21" s="20">
        <f t="shared" ca="1" si="64"/>
        <v>-7.8089025326170458E-2</v>
      </c>
      <c r="CU21" s="20">
        <f t="shared" ca="1" si="65"/>
        <v>-5.2059350217446974E-2</v>
      </c>
      <c r="CV21" s="20">
        <f t="shared" ca="1" si="66"/>
        <v>-3.1235610130468182E-2</v>
      </c>
      <c r="CW21" s="20">
        <f t="shared" ca="1" si="67"/>
        <v>-1.735311673914899E-2</v>
      </c>
      <c r="CX21" s="20">
        <f t="shared" ca="1" si="68"/>
        <v>-9.1869441560200535E-3</v>
      </c>
      <c r="CY21" s="20">
        <f t="shared" ca="1" si="69"/>
        <v>-4.7326682015860887E-3</v>
      </c>
      <c r="CZ21" s="20">
        <f t="shared" ca="1" si="70"/>
        <v>-2.4027392408052448E-3</v>
      </c>
      <c r="DA21" s="21">
        <f t="shared" ca="1" si="71"/>
        <v>2.4027392408052448E-3</v>
      </c>
      <c r="DB21" s="21">
        <f t="shared" ca="1" si="72"/>
        <v>4.7326682015860887E-3</v>
      </c>
      <c r="DC21" s="21">
        <f t="shared" ca="1" si="73"/>
        <v>9.1869441560200535E-3</v>
      </c>
      <c r="DD21" s="21">
        <f t="shared" ca="1" si="74"/>
        <v>1.735311673914899E-2</v>
      </c>
      <c r="DE21" s="21">
        <f t="shared" ca="1" si="75"/>
        <v>3.1235610130468182E-2</v>
      </c>
      <c r="DF21" s="21">
        <f t="shared" ca="1" si="76"/>
        <v>5.2059350217446974E-2</v>
      </c>
      <c r="DG21" s="21">
        <f t="shared" ca="1" si="77"/>
        <v>7.8089025326170458E-2</v>
      </c>
      <c r="DI21" s="16" cm="1">
        <f t="array" aca="1" ref="DI21" ca="1">MAX(_xlfn._xlws.FILTER(CT21:DG21,CT21:DG21&lt;BR21))</f>
        <v>-3.1235610130468182E-2</v>
      </c>
      <c r="DJ21" s="16" cm="1">
        <f t="array" aca="1" ref="DJ21" ca="1">MIN(_xlfn._xlws.FILTER(CT21:DG21,CT21:DG21&gt;BR21))</f>
        <v>-1.735311673914899E-2</v>
      </c>
      <c r="DK21" s="2" cm="1">
        <f t="array" aca="1" ref="DK21" ca="1">_FV(EC21,"Fechamento anterior",TRUE)</f>
        <v>29.83</v>
      </c>
      <c r="DL21" s="28">
        <f t="shared" ca="1" si="15"/>
        <v>0.72868264143825967</v>
      </c>
      <c r="DM21" s="15">
        <f t="shared" ca="1" si="78"/>
        <v>28.898241749808133</v>
      </c>
      <c r="DN21" s="15">
        <f t="shared" ca="1" si="79"/>
        <v>29.312356527671184</v>
      </c>
      <c r="DO21" s="9"/>
      <c r="DP21" s="9"/>
      <c r="DQ21" s="9"/>
      <c r="DR21" s="89">
        <v>1.1699362499658014E-2</v>
      </c>
      <c r="DS21" s="89">
        <v>6.9751391674401156E-3</v>
      </c>
      <c r="DT21" s="89">
        <v>4.4542759544339647E-3</v>
      </c>
      <c r="DU21" s="89">
        <v>1.3882493391319192E-2</v>
      </c>
      <c r="DV21" s="89">
        <f t="shared" ca="1" si="18"/>
        <v>1.3882493391319192E-2</v>
      </c>
      <c r="DW21" s="72">
        <f t="shared" ca="1" si="19"/>
        <v>-0.32439186971948736</v>
      </c>
      <c r="DX21" s="37"/>
      <c r="DY21" s="35">
        <f t="shared" si="39"/>
        <v>0.49168926501738197</v>
      </c>
      <c r="DZ21" s="56"/>
      <c r="EA21" s="56"/>
      <c r="EC21" s="2" t="e" vm="21">
        <v>#VALUE!</v>
      </c>
      <c r="EE21" s="10" cm="1">
        <f t="array" aca="1" ref="EE21" ca="1">_FV(EC21,"Ações em circulação",TRUE)</f>
        <v>135539000</v>
      </c>
      <c r="EF21" s="18">
        <f>VLOOKUP(BM21,Fundamentus!A:U,5,FALSE)</f>
        <v>0.85299999999999998</v>
      </c>
      <c r="EG21" s="2">
        <f t="shared" ca="1" si="20"/>
        <v>4639787573.2708092</v>
      </c>
      <c r="EH21" s="17">
        <v>482537907.62016416</v>
      </c>
      <c r="EI21" s="17">
        <f t="shared" ca="1" si="21"/>
        <v>482537907.62016416</v>
      </c>
      <c r="EK21" s="16">
        <f t="shared" ca="1" si="22"/>
        <v>0</v>
      </c>
      <c r="EL21" s="32" t="str">
        <f>IF(VLOOKUP(BM21,Fundamentus!A:U,3,FALSE)&lt;15,"Bom",IF(VLOOKUP(BM21,Fundamentus!A:U,3,FALSE)&gt;15,"Ruim","n/a"))</f>
        <v>Bom</v>
      </c>
      <c r="EM21" s="28" t="str">
        <f>IF(VLOOKUP(BM21,Fundamentus!A:U,4,FALSE)&lt;1,"Baixo",IF(VLOOKUP(BM21,Fundamentus!A:U,4,FALSE)&lt;1.5,"Moderado",IF(VLOOKUP(BM21,Fundamentus!A:U,4,FALSE)&gt;1.5,"Alto","n/a")))</f>
        <v>Alto</v>
      </c>
      <c r="EN21" s="17" t="str">
        <f>IF(VLOOKUP(BM21,Fundamentus!A:U,8,FALSE)&lt;0,"Risco elevado",IF(VLOOKUP(BM21,Fundamentus!A:U,8,FALSE)&lt;1,"Saudável",IF(VLOOKUP(BM21,Fundamentus!A:U,8,FALSE)&lt;3,"Estável",IF(VLOOKUP(BM21,Fundamentus!A:U,8,FALSE)&gt;3,"Alerta","n/a"))))</f>
        <v>Alerta</v>
      </c>
      <c r="EO21" s="28" t="str">
        <f t="shared" si="23"/>
        <v>Ruim</v>
      </c>
      <c r="EP21" s="17" t="str">
        <f>IF(VLOOKUP(BM21,Fundamentus!A:U,12,FALSE)&lt;2,"Subvalorizada",IF(VLOOKUP(BM21,Fundamentus!A:U,12,FALSE)&lt;6,"Muita barata",IF(VLOOKUP(BM21,Fundamentus!A:U,12,FALSE)&lt;6,"Barata",IF(VLOOKUP(BM21,Fundamentus!A:U,12,FALSE)&lt;8,"Atrativa",IF(VLOOKUP(BM21,Fundamentus!A:U,12,FALSE)&gt;8,"Supervalorizada","n/a")))))</f>
        <v>Muita barata</v>
      </c>
      <c r="ER21" s="17" t="str">
        <f>IF(VLOOKUP(BM21,Fundamentus!A:U,17,FALSE)&lt;0.1,"Fraco retorno",IF(VLOOKUP(BM21,Fundamentus!A:U,17,FALSE)&gt;0.1,"Bom retorno","n/a"))</f>
        <v>Bom retorno</v>
      </c>
      <c r="ES21" s="17" t="str">
        <f>IF(VLOOKUP(BM21,Fundamentus!A:U,16,FALSE)&lt;0.1,"Ineficiente",IF(VLOOKUP(BM21,Fundamentus!A:U,16,FALSE)&gt;0.1,"Eficiente","n/a"))</f>
        <v>Eficiente</v>
      </c>
      <c r="ET21" s="33" t="str">
        <f>IF(VLOOKUP(BM21,Fundamentus!A:U,16,FALSE)&lt;0.1,"Oper. Ineficiente",IF(VLOOKUP(BM21,Fundamentus!A:U,16,FALSE)&gt;0.1,"Oper.Eficiente","n/a"))</f>
        <v>Oper.Eficiente</v>
      </c>
      <c r="EU21" s="34">
        <f>VLOOKUP(BM21,Fundamentus!A:U,14,FALSE)</f>
        <v>0.104</v>
      </c>
      <c r="EV21" s="17" t="str">
        <f>IF(VLOOKUP(BM21,Fundamentus!A:U,21,FALSE)&lt;0,"Negativo",IF(VLOOKUP(BM21,Fundamentus!A:U,21,FALSE)&lt;0.05,"Fraco",IF(VLOOKUP(BM21,Fundamentus!A:U,21,FALSE)&lt;0.1,"Bom",IF(VLOOKUP(BM21,Fundamentus!A:U,21,FALSE)&gt;0.1,"Muito bom","n/a"))))</f>
        <v>Muito bom</v>
      </c>
      <c r="EX21" s="29" t="str">
        <f>IF(VLOOKUP(BM21,Fundamentus!A:U,15,FALSE)&gt;1,"Bom",IF(VLOOKUP(BM21,Fundamentus!A:U,15,FALSE)&lt;1,"Ruim","n/a"))</f>
        <v>Bom</v>
      </c>
      <c r="EY21" s="17" t="str">
        <f>IF(VLOOKUP(BM21,Fundamentus!A:U,20,FALSE)&lt;0.5,"Baixa",IF(VLOOKUP(BM21,Fundamentus!A:U,20,FALSE)&lt;1,"Moderada",IF(VLOOKUP(BM21,Fundamentus!A:U,20,FALSE)&lt;2,"Alerta",IF(VLOOKUP(BM21,Fundamentus!A:U,20,FALSE)&gt;2,"Alta","n/a"))))</f>
        <v>Alerta</v>
      </c>
    </row>
    <row r="22" spans="1:156" s="5" customFormat="1" ht="11.25" x14ac:dyDescent="0.2">
      <c r="A22" s="4">
        <v>9.6</v>
      </c>
      <c r="B22" s="4">
        <v>9.24</v>
      </c>
      <c r="C22" s="4">
        <v>9.58</v>
      </c>
      <c r="D22" s="4">
        <v>9.2799999999999994</v>
      </c>
      <c r="E22" s="4">
        <v>9.07</v>
      </c>
      <c r="F22" s="4">
        <v>9.25</v>
      </c>
      <c r="G22" s="4">
        <v>9.35</v>
      </c>
      <c r="H22" s="4">
        <v>9.2100000000000009</v>
      </c>
      <c r="I22" s="4">
        <v>9.33</v>
      </c>
      <c r="J22" s="4">
        <v>9.74</v>
      </c>
      <c r="K22" s="4">
        <v>10.23</v>
      </c>
      <c r="L22" s="4">
        <v>10.07</v>
      </c>
      <c r="M22" s="4">
        <v>10.119999999999999</v>
      </c>
      <c r="N22" s="4">
        <v>10.119999999999999</v>
      </c>
      <c r="O22" s="4">
        <v>10.27</v>
      </c>
      <c r="P22" s="4">
        <v>10.4</v>
      </c>
      <c r="Q22" s="4">
        <v>10.73</v>
      </c>
      <c r="R22" s="4">
        <v>10.43</v>
      </c>
      <c r="S22" s="4">
        <v>10.83</v>
      </c>
      <c r="T22" s="4">
        <v>10.86</v>
      </c>
      <c r="U22" s="4">
        <v>10.52</v>
      </c>
      <c r="V22" s="4">
        <v>10.19</v>
      </c>
      <c r="W22" s="4">
        <v>10.01</v>
      </c>
      <c r="X22" s="4">
        <v>10.02</v>
      </c>
      <c r="Y22" s="4">
        <v>9.8000000000000007</v>
      </c>
      <c r="Z22" s="4">
        <v>9.75</v>
      </c>
      <c r="AA22" s="4">
        <v>9.56</v>
      </c>
      <c r="AB22" s="4">
        <v>9.39</v>
      </c>
      <c r="AC22" s="4">
        <v>9.59</v>
      </c>
      <c r="AD22" s="4">
        <v>9.3800000000000008</v>
      </c>
      <c r="AE22" s="4">
        <v>9.7100000000000009</v>
      </c>
      <c r="AF22" s="4">
        <v>9.59</v>
      </c>
      <c r="AG22" s="4">
        <v>9.1999999999999993</v>
      </c>
      <c r="AH22" s="4">
        <v>9.06</v>
      </c>
      <c r="AI22" s="4">
        <v>9.17</v>
      </c>
      <c r="AJ22" s="4">
        <v>8.99</v>
      </c>
      <c r="AK22" s="4">
        <v>8.76</v>
      </c>
      <c r="AL22" s="4">
        <v>9.15</v>
      </c>
      <c r="AM22" s="4">
        <v>9.1999999999999993</v>
      </c>
      <c r="AN22" s="4">
        <v>9.6999999999999993</v>
      </c>
      <c r="AO22" s="4">
        <v>9.73</v>
      </c>
      <c r="AP22" s="4">
        <v>10.32</v>
      </c>
      <c r="AQ22" s="4">
        <v>10.220000000000001</v>
      </c>
      <c r="AR22" s="4">
        <v>9.8699999999999992</v>
      </c>
      <c r="AS22" s="4">
        <v>9.92</v>
      </c>
      <c r="AT22" s="4">
        <v>10.33</v>
      </c>
      <c r="AU22" s="4">
        <v>10.5</v>
      </c>
      <c r="AV22" s="4">
        <v>10.48</v>
      </c>
      <c r="AW22" s="4">
        <v>10.62</v>
      </c>
      <c r="AX22" s="4">
        <v>10.68</v>
      </c>
      <c r="AY22" s="12">
        <v>11.02</v>
      </c>
      <c r="AZ22" s="12">
        <v>11.28</v>
      </c>
      <c r="BA22" s="12">
        <v>11.53</v>
      </c>
      <c r="BB22" s="15">
        <v>11.86</v>
      </c>
      <c r="BC22" s="52">
        <v>12.42</v>
      </c>
      <c r="BD22" s="52">
        <v>12.4</v>
      </c>
      <c r="BE22" s="52">
        <v>12.67</v>
      </c>
      <c r="BF22" s="52">
        <v>12.48</v>
      </c>
      <c r="BG22" s="67">
        <v>12.39</v>
      </c>
      <c r="BH22" s="52">
        <v>12.41</v>
      </c>
      <c r="BI22" s="52">
        <v>12.24</v>
      </c>
      <c r="BJ22" s="52">
        <v>12.34</v>
      </c>
      <c r="BK22" s="52">
        <v>11.95</v>
      </c>
      <c r="BL22" s="52" cm="1">
        <f t="array" aca="1" ref="BL22" ca="1">_FV(EC22,"Preço")</f>
        <v>11.95</v>
      </c>
      <c r="BM22" s="69" t="s">
        <v>19</v>
      </c>
      <c r="BN22" s="36" cm="1">
        <f t="array" aca="1" ref="BN22" ca="1">_FV(EC22,"Média de volume",TRUE)</f>
        <v>10791700</v>
      </c>
      <c r="BO22" s="36">
        <v>7881000</v>
      </c>
      <c r="BP22" s="36" cm="1">
        <f t="array" aca="1" ref="BP22" ca="1">_FV(EC22,"Volume")</f>
        <v>7881000</v>
      </c>
      <c r="BQ22" s="24" cm="1">
        <f t="array" aca="1" ref="BQ22" ca="1">_FV(EC22,"Beta")</f>
        <v>0.85680000000000001</v>
      </c>
      <c r="BR22" s="71" cm="1">
        <f t="array" aca="1" ref="BR22" ca="1">_FV(EC22,"Variação (%)",TRUE)</f>
        <v>2.5169999999999997E-3</v>
      </c>
      <c r="BT22" s="17" cm="1">
        <f t="array" aca="1" ref="BT22" ca="1">_FV(EC22,"Baixo")</f>
        <v>11.76</v>
      </c>
      <c r="BU22" s="17" cm="1">
        <f t="array" aca="1" ref="BU22" ca="1">_FV(EC22,"Alto")</f>
        <v>12.03</v>
      </c>
      <c r="BV22" s="24"/>
      <c r="BW22" s="63">
        <f ca="1">SQRT(22.5*(BL22/VLOOKUP(BM22,Fundamentus!A:U,3,FALSE))*(BL22/VLOOKUP(BM22,Fundamentus!A:U,4,FALSE)))</f>
        <v>13.474968080507812</v>
      </c>
      <c r="BY22" s="62">
        <f t="shared" ca="1" si="24"/>
        <v>0</v>
      </c>
      <c r="BZ22" s="8"/>
      <c r="CA22" s="61">
        <f t="shared" si="25"/>
        <v>8.76</v>
      </c>
      <c r="CB22" s="61">
        <f t="shared" si="26"/>
        <v>12.67</v>
      </c>
      <c r="CC22" s="61">
        <f t="shared" si="27"/>
        <v>10.287460317460315</v>
      </c>
      <c r="CD22" s="14"/>
      <c r="CE22" s="35">
        <f t="shared" si="1"/>
        <v>11.824317308062755</v>
      </c>
      <c r="CF22" s="15">
        <f t="shared" si="28"/>
        <v>12.171000000000049</v>
      </c>
      <c r="CG22" s="35">
        <f t="shared" si="2"/>
        <v>12.517682691937344</v>
      </c>
      <c r="CI22" s="14"/>
      <c r="CJ22" s="17">
        <f t="shared" si="3"/>
        <v>5.9333333333333318</v>
      </c>
      <c r="CK22" s="17">
        <f t="shared" si="4"/>
        <v>7.3466666666666658</v>
      </c>
      <c r="CL22" s="17">
        <f t="shared" si="5"/>
        <v>9.8433333333333319</v>
      </c>
      <c r="CM22" s="38">
        <f t="shared" si="29"/>
        <v>11.256666666666666</v>
      </c>
      <c r="CN22" s="17">
        <f t="shared" si="6"/>
        <v>13.753333333333332</v>
      </c>
      <c r="CO22" s="17">
        <f t="shared" si="7"/>
        <v>15.166666666666666</v>
      </c>
      <c r="CP22" s="17">
        <f t="shared" si="8"/>
        <v>17.663333333333334</v>
      </c>
      <c r="CQ22" s="2" cm="1">
        <f t="array" aca="1" ref="CQ22" ca="1">MAX(_xlfn._xlws.FILTER(CJ22:CP22,CJ22:CP22&lt;BL22))</f>
        <v>11.256666666666666</v>
      </c>
      <c r="CR22" s="2" cm="1">
        <f t="array" aca="1" ref="CR22" ca="1">MIN(_xlfn._xlws.FILTER($CJ22:$CP22,$CJ22:$CP22&gt;BL22))</f>
        <v>13.753333333333332</v>
      </c>
      <c r="CS22" s="16">
        <f t="shared" ca="1" si="63"/>
        <v>0.22179449215279834</v>
      </c>
      <c r="CT22" s="20">
        <f t="shared" ca="1" si="64"/>
        <v>-0.11089724607639917</v>
      </c>
      <c r="CU22" s="20">
        <f t="shared" ca="1" si="65"/>
        <v>-7.3931497384266118E-2</v>
      </c>
      <c r="CV22" s="20">
        <f t="shared" ca="1" si="66"/>
        <v>-4.4358898430559665E-2</v>
      </c>
      <c r="CW22" s="20">
        <f t="shared" ca="1" si="67"/>
        <v>-2.4643832461422037E-2</v>
      </c>
      <c r="CX22" s="20">
        <f t="shared" ca="1" si="68"/>
        <v>-1.3046734832517549E-2</v>
      </c>
      <c r="CY22" s="20">
        <f t="shared" ca="1" si="69"/>
        <v>-6.721045216751465E-3</v>
      </c>
      <c r="CZ22" s="20">
        <f t="shared" ca="1" si="70"/>
        <v>-3.4122229561968976E-3</v>
      </c>
      <c r="DA22" s="21">
        <f t="shared" ca="1" si="71"/>
        <v>3.4122229561968976E-3</v>
      </c>
      <c r="DB22" s="21">
        <f t="shared" ca="1" si="72"/>
        <v>6.721045216751465E-3</v>
      </c>
      <c r="DC22" s="21">
        <f t="shared" ca="1" si="73"/>
        <v>1.3046734832517549E-2</v>
      </c>
      <c r="DD22" s="21">
        <f t="shared" ca="1" si="74"/>
        <v>2.4643832461422037E-2</v>
      </c>
      <c r="DE22" s="21">
        <f t="shared" ca="1" si="75"/>
        <v>4.4358898430559665E-2</v>
      </c>
      <c r="DF22" s="21">
        <f t="shared" ca="1" si="76"/>
        <v>7.3931497384266118E-2</v>
      </c>
      <c r="DG22" s="21">
        <f t="shared" ca="1" si="77"/>
        <v>0.11089724607639917</v>
      </c>
      <c r="DI22" s="16" cm="1">
        <f t="array" aca="1" ref="DI22" ca="1">MAX(_xlfn._xlws.FILTER(CT22:DG22,CT22:DG22&lt;BR22))</f>
        <v>-3.4122229561968976E-3</v>
      </c>
      <c r="DJ22" s="16" cm="1">
        <f t="array" aca="1" ref="DJ22" ca="1">MIN(_xlfn._xlws.FILTER(CT22:DG22,CT22:DG22&gt;BR22))</f>
        <v>3.4122229561968976E-3</v>
      </c>
      <c r="DK22" s="2" cm="1">
        <f t="array" aca="1" ref="DK22" ca="1">_FV(EC22,"Fechamento anterior",TRUE)</f>
        <v>11.92</v>
      </c>
      <c r="DL22" s="28">
        <f t="shared" ca="1" si="15"/>
        <v>0.86878869812993342</v>
      </c>
      <c r="DM22" s="15">
        <f t="shared" ca="1" si="78"/>
        <v>11.879326302362132</v>
      </c>
      <c r="DN22" s="15">
        <f t="shared" ca="1" si="79"/>
        <v>11.960673697637867</v>
      </c>
      <c r="DO22" s="9"/>
      <c r="DP22" s="9"/>
      <c r="DQ22" s="9"/>
      <c r="DR22" s="89">
        <v>6.0024938728124866E-3</v>
      </c>
      <c r="DS22" s="89">
        <v>3.3259860580972353E-3</v>
      </c>
      <c r="DT22" s="89">
        <v>6.8244459123937952E-3</v>
      </c>
      <c r="DU22" s="89">
        <v>6.8244459123937952E-3</v>
      </c>
      <c r="DV22" s="89">
        <f t="shared" ca="1" si="18"/>
        <v>6.8244459123937952E-3</v>
      </c>
      <c r="DW22" s="72">
        <f t="shared" ca="1" si="19"/>
        <v>-0.6374705318142122</v>
      </c>
      <c r="DX22" s="37"/>
      <c r="DY22" s="35">
        <f t="shared" si="39"/>
        <v>0.1733413459686475</v>
      </c>
      <c r="DZ22" s="56"/>
      <c r="EA22" s="56"/>
      <c r="EC22" s="5" t="e" vm="22">
        <v>#VALUE!</v>
      </c>
      <c r="EE22" s="10" cm="1">
        <f t="array" aca="1" ref="EE22" ca="1">_FV(EC22,"Ações em circulação",TRUE)</f>
        <v>2982811000</v>
      </c>
      <c r="EF22" s="18">
        <f>VLOOKUP(BM22,Fundamentus!A:U,5,FALSE)</f>
        <v>1.5980000000000001</v>
      </c>
      <c r="EG22" s="2">
        <f t="shared" ca="1" si="20"/>
        <v>22305751846.057571</v>
      </c>
      <c r="EH22" s="17">
        <v>2826138758.8954945</v>
      </c>
      <c r="EI22" s="17">
        <f t="shared" ca="1" si="21"/>
        <v>2826138758.8954945</v>
      </c>
      <c r="EJ22" s="2"/>
      <c r="EK22" s="16">
        <f t="shared" ca="1" si="22"/>
        <v>0</v>
      </c>
      <c r="EL22" s="32" t="str">
        <f>IF(VLOOKUP(BM22,Fundamentus!A:U,3,FALSE)&lt;15,"Bom",IF(VLOOKUP(BM22,Fundamentus!A:U,3,FALSE)&gt;15,"Ruim","n/a"))</f>
        <v>Bom</v>
      </c>
      <c r="EM22" s="28" t="str">
        <f>IF(VLOOKUP(BM22,Fundamentus!A:U,4,FALSE)&lt;1,"Baixo",IF(VLOOKUP(BM22,Fundamentus!A:U,4,FALSE)&lt;1.5,"Moderado",IF(VLOOKUP(BM22,Fundamentus!A:U,4,FALSE)&gt;1.5,"Alto","n/a")))</f>
        <v>Moderado</v>
      </c>
      <c r="EN22" s="17" t="str">
        <f>IF(VLOOKUP(BM22,Fundamentus!A:U,8,FALSE)&lt;0,"Risco elevado",IF(VLOOKUP(BM22,Fundamentus!A:U,8,FALSE)&lt;1,"Saudável",IF(VLOOKUP(BM22,Fundamentus!A:U,8,FALSE)&lt;3,"Estável",IF(VLOOKUP(BM22,Fundamentus!A:U,8,FALSE)&gt;3,"Alerta","n/a"))))</f>
        <v>Alerta</v>
      </c>
      <c r="EO22" s="28" t="str">
        <f t="shared" si="23"/>
        <v>Bom</v>
      </c>
      <c r="EP22" s="17" t="str">
        <f>IF(VLOOKUP(BM22,Fundamentus!A:U,12,FALSE)&lt;2,"Subvalorizada",IF(VLOOKUP(BM22,Fundamentus!A:U,12,FALSE)&lt;6,"Muita barata",IF(VLOOKUP(BM22,Fundamentus!A:U,12,FALSE)&lt;6,"Barata",IF(VLOOKUP(BM22,Fundamentus!A:U,12,FALSE)&lt;8,"Atrativa",IF(VLOOKUP(BM22,Fundamentus!A:U,12,FALSE)&gt;8,"Supervalorizada","n/a")))))</f>
        <v>Supervalorizada</v>
      </c>
      <c r="EQ22" s="2"/>
      <c r="ER22" s="17" t="str">
        <f>IF(VLOOKUP(BM22,Fundamentus!A:U,17,FALSE)&lt;0.1,"Fraco retorno",IF(VLOOKUP(BM22,Fundamentus!A:U,17,FALSE)&gt;0.1,"Bom retorno","n/a"))</f>
        <v>Bom retorno</v>
      </c>
      <c r="ES22" s="17" t="str">
        <f>IF(VLOOKUP(BM22,Fundamentus!A:U,16,FALSE)&lt;0.1,"Ineficiente",IF(VLOOKUP(BM22,Fundamentus!A:U,16,FALSE)&gt;0.1,"Eficiente","n/a"))</f>
        <v>Ineficiente</v>
      </c>
      <c r="ET22" s="33" t="str">
        <f>IF(VLOOKUP(BM22,Fundamentus!A:U,16,FALSE)&lt;0.1,"Oper. Ineficiente",IF(VLOOKUP(BM22,Fundamentus!A:U,16,FALSE)&gt;0.1,"Oper.Eficiente","n/a"))</f>
        <v>Oper. Ineficiente</v>
      </c>
      <c r="EU22" s="34">
        <f>VLOOKUP(BM22,Fundamentus!A:U,14,FALSE)</f>
        <v>0.12670000000000001</v>
      </c>
      <c r="EV22" s="17" t="str">
        <f>IF(VLOOKUP(BM22,Fundamentus!A:U,21,FALSE)&lt;0,"Negativo",IF(VLOOKUP(BM22,Fundamentus!A:U,21,FALSE)&lt;0.05,"Fraco",IF(VLOOKUP(BM22,Fundamentus!A:U,21,FALSE)&lt;0.1,"Bom",IF(VLOOKUP(BM22,Fundamentus!A:U,21,FALSE)&gt;0.1,"Muito bom","n/a"))))</f>
        <v>Fraco</v>
      </c>
      <c r="EX22" s="29" t="str">
        <f>IF(VLOOKUP(BM22,Fundamentus!A:U,15,FALSE)&gt;1,"Bom",IF(VLOOKUP(BM22,Fundamentus!A:U,15,FALSE)&lt;1,"Ruim","n/a"))</f>
        <v>Bom</v>
      </c>
      <c r="EY22" s="17" t="str">
        <f>IF(VLOOKUP(BM22,Fundamentus!A:U,20,FALSE)&lt;0.5,"Baixa",IF(VLOOKUP(BM22,Fundamentus!A:U,20,FALSE)&lt;1,"Moderada",IF(VLOOKUP(BM22,Fundamentus!A:U,20,FALSE)&lt;2,"Alerta",IF(VLOOKUP(BM22,Fundamentus!A:U,20,FALSE)&gt;2,"Alta","n/a"))))</f>
        <v>Moderada</v>
      </c>
    </row>
    <row r="23" spans="1:156" s="2" customFormat="1" ht="11.25" x14ac:dyDescent="0.2">
      <c r="A23" s="4">
        <v>22.9</v>
      </c>
      <c r="B23" s="4">
        <v>22.09</v>
      </c>
      <c r="C23" s="4">
        <v>21.71</v>
      </c>
      <c r="D23" s="4">
        <v>20.91</v>
      </c>
      <c r="E23" s="4">
        <v>20.5</v>
      </c>
      <c r="F23" s="4">
        <v>20.49</v>
      </c>
      <c r="G23" s="4">
        <v>19.57</v>
      </c>
      <c r="H23" s="4">
        <v>19.440000000000001</v>
      </c>
      <c r="I23" s="4">
        <v>19.63</v>
      </c>
      <c r="J23" s="4">
        <v>19.25</v>
      </c>
      <c r="K23" s="4">
        <v>19.38</v>
      </c>
      <c r="L23" s="4">
        <v>19.309999999999999</v>
      </c>
      <c r="M23" s="4">
        <v>18.96</v>
      </c>
      <c r="N23" s="4">
        <v>17.600000000000001</v>
      </c>
      <c r="O23" s="4">
        <v>17.96</v>
      </c>
      <c r="P23" s="4">
        <v>17.7</v>
      </c>
      <c r="Q23" s="4">
        <v>18</v>
      </c>
      <c r="R23" s="4">
        <v>18.05</v>
      </c>
      <c r="S23" s="4">
        <v>18.02</v>
      </c>
      <c r="T23" s="4">
        <v>18</v>
      </c>
      <c r="U23" s="4">
        <v>17.71</v>
      </c>
      <c r="V23" s="4">
        <v>17.850000000000001</v>
      </c>
      <c r="W23" s="4">
        <v>17.96</v>
      </c>
      <c r="X23" s="4">
        <v>17.899999999999999</v>
      </c>
      <c r="Y23" s="4">
        <v>17.5</v>
      </c>
      <c r="Z23" s="4">
        <v>17.64</v>
      </c>
      <c r="AA23" s="4">
        <v>17.61</v>
      </c>
      <c r="AB23" s="4">
        <v>18.010000000000002</v>
      </c>
      <c r="AC23" s="4">
        <v>18.13</v>
      </c>
      <c r="AD23" s="4">
        <v>18.850000000000001</v>
      </c>
      <c r="AE23" s="4">
        <v>16.989999999999998</v>
      </c>
      <c r="AF23" s="4">
        <v>16.989999999999998</v>
      </c>
      <c r="AG23" s="4">
        <v>16.899999999999999</v>
      </c>
      <c r="AH23" s="4">
        <v>16.8</v>
      </c>
      <c r="AI23" s="4">
        <v>16.850000000000001</v>
      </c>
      <c r="AJ23" s="4">
        <v>17.600000000000001</v>
      </c>
      <c r="AK23" s="4">
        <v>17.079999999999998</v>
      </c>
      <c r="AL23" s="4">
        <v>17.100000000000001</v>
      </c>
      <c r="AM23" s="4">
        <v>17.38</v>
      </c>
      <c r="AN23" s="4">
        <v>17.61</v>
      </c>
      <c r="AO23" s="4">
        <v>17.8</v>
      </c>
      <c r="AP23" s="4">
        <v>17.649999999999999</v>
      </c>
      <c r="AQ23" s="4">
        <v>17.62</v>
      </c>
      <c r="AR23" s="4">
        <v>17.899999999999999</v>
      </c>
      <c r="AS23" s="4">
        <v>18.3</v>
      </c>
      <c r="AT23" s="4">
        <v>18.95</v>
      </c>
      <c r="AU23" s="4">
        <v>18.555</v>
      </c>
      <c r="AV23" s="4">
        <v>19.8</v>
      </c>
      <c r="AW23" s="4">
        <v>19.55</v>
      </c>
      <c r="AX23" s="4">
        <v>19.920000000000002</v>
      </c>
      <c r="AY23" s="12">
        <v>21.28</v>
      </c>
      <c r="AZ23" s="12">
        <v>21.64</v>
      </c>
      <c r="BA23" s="12">
        <v>22.58</v>
      </c>
      <c r="BB23" s="15">
        <v>20.12</v>
      </c>
      <c r="BC23" s="52">
        <v>20.7</v>
      </c>
      <c r="BD23" s="52">
        <v>20.95</v>
      </c>
      <c r="BE23" s="52">
        <v>20.95</v>
      </c>
      <c r="BF23" s="52">
        <v>21</v>
      </c>
      <c r="BG23" s="67">
        <v>21.1</v>
      </c>
      <c r="BH23" s="52">
        <v>20.72</v>
      </c>
      <c r="BI23" s="52">
        <v>21</v>
      </c>
      <c r="BJ23" s="52">
        <v>21.6</v>
      </c>
      <c r="BK23" s="52">
        <v>21.73</v>
      </c>
      <c r="BL23" s="52" cm="1">
        <f t="array" aca="1" ref="BL23" ca="1">_FV(EC23,"Preço")</f>
        <v>21.73</v>
      </c>
      <c r="BM23" s="69" t="s">
        <v>20</v>
      </c>
      <c r="BN23" s="36" cm="1">
        <f t="array" aca="1" ref="BN23" ca="1">_FV(EC23,"Média de volume",TRUE)</f>
        <v>9060</v>
      </c>
      <c r="BO23" s="36">
        <v>1400</v>
      </c>
      <c r="BP23" s="36" cm="1">
        <f t="array" aca="1" ref="BP23" ca="1">_FV(EC23,"Volume")</f>
        <v>1400</v>
      </c>
      <c r="BQ23" s="24" cm="1">
        <f t="array" aca="1" ref="BQ23" ca="1">_FV(EC23,"Beta")</f>
        <v>0.63900000000000001</v>
      </c>
      <c r="BR23" s="71" cm="1">
        <f t="array" aca="1" ref="BR23" ca="1">_FV(EC23,"Variação (%)",TRUE)</f>
        <v>-3.2109999999999999E-3</v>
      </c>
      <c r="BT23" s="17" cm="1">
        <f t="array" aca="1" ref="BT23" ca="1">_FV(EC23,"Baixo")</f>
        <v>21.67</v>
      </c>
      <c r="BU23" s="17" cm="1">
        <f t="array" aca="1" ref="BU23" ca="1">_FV(EC23,"Alto")</f>
        <v>22.1</v>
      </c>
      <c r="BV23" s="24"/>
      <c r="BW23" s="63">
        <f ca="1">SQRT(22.5*(BL23/VLOOKUP(BM23,Fundamentus!A:U,3,FALSE))*(BL23/VLOOKUP(BM23,Fundamentus!A:U,4,FALSE)))</f>
        <v>30.441618842219611</v>
      </c>
      <c r="BY23" s="62">
        <f t="shared" ca="1" si="24"/>
        <v>0</v>
      </c>
      <c r="BZ23" s="8"/>
      <c r="CA23" s="61">
        <f t="shared" si="25"/>
        <v>16.8</v>
      </c>
      <c r="CB23" s="61">
        <f t="shared" si="26"/>
        <v>22.9</v>
      </c>
      <c r="CC23" s="61">
        <f t="shared" si="27"/>
        <v>19.068968253968247</v>
      </c>
      <c r="CD23" s="14"/>
      <c r="CE23" s="35">
        <f t="shared" si="1"/>
        <v>20.731781244591513</v>
      </c>
      <c r="CF23" s="15">
        <f t="shared" si="28"/>
        <v>21.44399999999996</v>
      </c>
      <c r="CG23" s="35">
        <f t="shared" si="2"/>
        <v>22.156218755408407</v>
      </c>
      <c r="CI23" s="14"/>
      <c r="CJ23" s="17">
        <f t="shared" si="3"/>
        <v>11.866666666666671</v>
      </c>
      <c r="CK23" s="17">
        <f t="shared" si="4"/>
        <v>14.333333333333336</v>
      </c>
      <c r="CL23" s="17">
        <f t="shared" si="5"/>
        <v>17.966666666666669</v>
      </c>
      <c r="CM23" s="38">
        <f t="shared" si="29"/>
        <v>20.433333333333334</v>
      </c>
      <c r="CN23" s="17">
        <f t="shared" si="6"/>
        <v>24.066666666666666</v>
      </c>
      <c r="CO23" s="17">
        <f t="shared" si="7"/>
        <v>26.533333333333331</v>
      </c>
      <c r="CP23" s="17">
        <f t="shared" si="8"/>
        <v>30.166666666666664</v>
      </c>
      <c r="CQ23" s="2" cm="1">
        <f t="array" aca="1" ref="CQ23" ca="1">MAX(_xlfn._xlws.FILTER(CJ23:CP23,CJ23:CP23&lt;BL23))</f>
        <v>20.433333333333334</v>
      </c>
      <c r="CR23" s="2" cm="1">
        <f t="array" aca="1" ref="CR23" ca="1">MIN(_xlfn._xlws.FILTER($CJ23:$CP23,$CJ23:$CP23&gt;BL23))</f>
        <v>24.066666666666666</v>
      </c>
      <c r="CS23" s="16">
        <f t="shared" ca="1" si="63"/>
        <v>0.17781402936378465</v>
      </c>
      <c r="CT23" s="20">
        <f t="shared" ca="1" si="64"/>
        <v>-8.8907014681892327E-2</v>
      </c>
      <c r="CU23" s="20">
        <f t="shared" ca="1" si="65"/>
        <v>-5.9271343121261554E-2</v>
      </c>
      <c r="CV23" s="20">
        <f t="shared" ca="1" si="66"/>
        <v>-3.5562805872756932E-2</v>
      </c>
      <c r="CW23" s="20">
        <f t="shared" ca="1" si="67"/>
        <v>-1.975711437375385E-2</v>
      </c>
      <c r="CX23" s="20">
        <f t="shared" ca="1" si="68"/>
        <v>-1.045964878610498E-2</v>
      </c>
      <c r="CY23" s="20">
        <f t="shared" ca="1" si="69"/>
        <v>-5.3883039201146864E-3</v>
      </c>
      <c r="CZ23" s="20">
        <f t="shared" ca="1" si="70"/>
        <v>-2.7356004517505332E-3</v>
      </c>
      <c r="DA23" s="21">
        <f t="shared" ca="1" si="71"/>
        <v>2.7356004517505332E-3</v>
      </c>
      <c r="DB23" s="21">
        <f t="shared" ca="1" si="72"/>
        <v>5.3883039201146864E-3</v>
      </c>
      <c r="DC23" s="21">
        <f t="shared" ca="1" si="73"/>
        <v>1.045964878610498E-2</v>
      </c>
      <c r="DD23" s="21">
        <f t="shared" ca="1" si="74"/>
        <v>1.975711437375385E-2</v>
      </c>
      <c r="DE23" s="21">
        <f t="shared" ca="1" si="75"/>
        <v>3.5562805872756932E-2</v>
      </c>
      <c r="DF23" s="21">
        <f t="shared" ca="1" si="76"/>
        <v>5.9271343121261554E-2</v>
      </c>
      <c r="DG23" s="21">
        <f t="shared" ca="1" si="77"/>
        <v>8.8907014681892327E-2</v>
      </c>
      <c r="DI23" s="16" cm="1">
        <f t="array" aca="1" ref="DI23" ca="1">MAX(_xlfn._xlws.FILTER(CT23:DG23,CT23:DG23&lt;BR23))</f>
        <v>-5.3883039201146864E-3</v>
      </c>
      <c r="DJ23" s="16" cm="1">
        <f t="array" aca="1" ref="DJ23" ca="1">MIN(_xlfn._xlws.FILTER(CT23:DG23,CT23:DG23&gt;BR23))</f>
        <v>-2.7356004517505332E-3</v>
      </c>
      <c r="DK23" s="2" cm="1">
        <f t="array" aca="1" ref="DK23" ca="1">_FV(EC23,"Fechamento anterior",TRUE)</f>
        <v>21.8</v>
      </c>
      <c r="DL23" s="28">
        <f t="shared" ca="1" si="15"/>
        <v>0.820783314746235</v>
      </c>
      <c r="DM23" s="15">
        <f t="shared" ca="1" si="78"/>
        <v>21.6825349745415</v>
      </c>
      <c r="DN23" s="15">
        <f t="shared" ca="1" si="79"/>
        <v>21.740363910151839</v>
      </c>
      <c r="DO23" s="9"/>
      <c r="DP23" s="9"/>
      <c r="DQ23" s="9"/>
      <c r="DR23" s="89">
        <v>1.0190231577188916E-2</v>
      </c>
      <c r="DS23" s="89">
        <v>1.5204678362573096E-2</v>
      </c>
      <c r="DT23" s="89">
        <v>9.2974655876488701E-3</v>
      </c>
      <c r="DU23" s="89">
        <v>2.6527034683641532E-3</v>
      </c>
      <c r="DV23" s="89">
        <f t="shared" ca="1" si="18"/>
        <v>2.6527034683641532E-3</v>
      </c>
      <c r="DW23" s="72">
        <f t="shared" ca="1" si="19"/>
        <v>0.40156201704632682</v>
      </c>
      <c r="DX23" s="37"/>
      <c r="DY23" s="35">
        <f t="shared" si="39"/>
        <v>0.35610937770422352</v>
      </c>
      <c r="DZ23" s="56"/>
      <c r="EA23" s="56"/>
      <c r="EC23" s="2" t="e" vm="23">
        <v>#VALUE!</v>
      </c>
      <c r="EE23" s="10" cm="1">
        <f t="array" aca="1" ref="EE23" ca="1">_FV(EC23,"Ações em circulação",TRUE)</f>
        <v>72081910</v>
      </c>
      <c r="EF23" s="18">
        <f>VLOOKUP(BM23,Fundamentus!A:U,5,FALSE)</f>
        <v>3.8929999999999998</v>
      </c>
      <c r="EG23" s="2">
        <f t="shared" ca="1" si="20"/>
        <v>402347779.16773695</v>
      </c>
      <c r="EH23" s="17">
        <v>242374302.17064476</v>
      </c>
      <c r="EI23" s="17">
        <f t="shared" ca="1" si="21"/>
        <v>242374302.17064476</v>
      </c>
      <c r="EK23" s="16">
        <f t="shared" ca="1" si="22"/>
        <v>0</v>
      </c>
      <c r="EL23" s="32" t="str">
        <f>IF(VLOOKUP(BM23,Fundamentus!A:U,3,FALSE)&lt;15,"Bom",IF(VLOOKUP(BM23,Fundamentus!A:U,3,FALSE)&gt;15,"Ruim","n/a"))</f>
        <v>Bom</v>
      </c>
      <c r="EM23" s="28" t="str">
        <f>IF(VLOOKUP(BM23,Fundamentus!A:U,4,FALSE)&lt;1,"Baixo",IF(VLOOKUP(BM23,Fundamentus!A:U,4,FALSE)&lt;1.5,"Moderado",IF(VLOOKUP(BM23,Fundamentus!A:U,4,FALSE)&gt;1.5,"Alto","n/a")))</f>
        <v>Moderado</v>
      </c>
      <c r="EN23" s="17" t="str">
        <f>IF(VLOOKUP(BM23,Fundamentus!A:U,8,FALSE)&lt;0,"Risco elevado",IF(VLOOKUP(BM23,Fundamentus!A:U,8,FALSE)&lt;1,"Saudável",IF(VLOOKUP(BM23,Fundamentus!A:U,8,FALSE)&lt;3,"Estável",IF(VLOOKUP(BM23,Fundamentus!A:U,8,FALSE)&gt;3,"Alerta","n/a"))))</f>
        <v>Estável</v>
      </c>
      <c r="EO23" s="28" t="str">
        <f t="shared" si="23"/>
        <v>Bom</v>
      </c>
      <c r="EP23" s="17" t="str">
        <f>IF(VLOOKUP(BM23,Fundamentus!A:U,12,FALSE)&lt;2,"Subvalorizada",IF(VLOOKUP(BM23,Fundamentus!A:U,12,FALSE)&lt;6,"Muita barata",IF(VLOOKUP(BM23,Fundamentus!A:U,12,FALSE)&lt;6,"Barata",IF(VLOOKUP(BM23,Fundamentus!A:U,12,FALSE)&lt;8,"Atrativa",IF(VLOOKUP(BM23,Fundamentus!A:U,12,FALSE)&gt;8,"Supervalorizada","n/a")))))</f>
        <v>Muita barata</v>
      </c>
      <c r="ER23" s="17" t="str">
        <f>IF(VLOOKUP(BM23,Fundamentus!A:U,17,FALSE)&lt;0.1,"Fraco retorno",IF(VLOOKUP(BM23,Fundamentus!A:U,17,FALSE)&gt;0.1,"Bom retorno","n/a"))</f>
        <v>Bom retorno</v>
      </c>
      <c r="ES23" s="17" t="str">
        <f>IF(VLOOKUP(BM23,Fundamentus!A:U,16,FALSE)&lt;0.1,"Ineficiente",IF(VLOOKUP(BM23,Fundamentus!A:U,16,FALSE)&gt;0.1,"Eficiente","n/a"))</f>
        <v>Eficiente</v>
      </c>
      <c r="ET23" s="33" t="str">
        <f>IF(VLOOKUP(BM23,Fundamentus!A:U,16,FALSE)&lt;0.1,"Oper. Ineficiente",IF(VLOOKUP(BM23,Fundamentus!A:U,16,FALSE)&gt;0.1,"Oper.Eficiente","n/a"))</f>
        <v>Oper.Eficiente</v>
      </c>
      <c r="EU23" s="34">
        <f>VLOOKUP(BM23,Fundamentus!A:U,14,FALSE)</f>
        <v>0.60240000000000005</v>
      </c>
      <c r="EV23" s="17" t="str">
        <f>IF(VLOOKUP(BM23,Fundamentus!A:U,21,FALSE)&lt;0,"Negativo",IF(VLOOKUP(BM23,Fundamentus!A:U,21,FALSE)&lt;0.05,"Fraco",IF(VLOOKUP(BM23,Fundamentus!A:U,21,FALSE)&lt;0.1,"Bom",IF(VLOOKUP(BM23,Fundamentus!A:U,21,FALSE)&gt;0.1,"Muito bom","n/a"))))</f>
        <v>Fraco</v>
      </c>
      <c r="EX23" s="29" t="str">
        <f>IF(VLOOKUP(BM23,Fundamentus!A:U,15,FALSE)&gt;1,"Bom",IF(VLOOKUP(BM23,Fundamentus!A:U,15,FALSE)&lt;1,"Ruim","n/a"))</f>
        <v>Bom</v>
      </c>
      <c r="EY23" s="17" t="str">
        <f>IF(VLOOKUP(BM23,Fundamentus!A:U,20,FALSE)&lt;0.5,"Baixa",IF(VLOOKUP(BM23,Fundamentus!A:U,20,FALSE)&lt;1,"Moderada",IF(VLOOKUP(BM23,Fundamentus!A:U,20,FALSE)&lt;2,"Alerta",IF(VLOOKUP(BM23,Fundamentus!A:U,20,FALSE)&gt;2,"Alta","n/a"))))</f>
        <v>Baixa</v>
      </c>
    </row>
    <row r="24" spans="1:156" s="2" customFormat="1" ht="11.25" x14ac:dyDescent="0.2">
      <c r="A24" s="4">
        <v>13.18</v>
      </c>
      <c r="B24" s="4">
        <v>12.55</v>
      </c>
      <c r="C24" s="4">
        <v>12.06</v>
      </c>
      <c r="D24" s="4">
        <v>11.58</v>
      </c>
      <c r="E24" s="4">
        <v>11.51</v>
      </c>
      <c r="F24" s="4">
        <v>11.01</v>
      </c>
      <c r="G24" s="4">
        <v>10.3</v>
      </c>
      <c r="H24" s="4">
        <v>10.19</v>
      </c>
      <c r="I24" s="4">
        <v>10.76</v>
      </c>
      <c r="J24" s="4">
        <v>11.41</v>
      </c>
      <c r="K24" s="4">
        <v>10.7</v>
      </c>
      <c r="L24" s="4">
        <v>10.71</v>
      </c>
      <c r="M24" s="4">
        <v>10.7</v>
      </c>
      <c r="N24" s="4">
        <v>10.56</v>
      </c>
      <c r="O24" s="4">
        <v>10.77</v>
      </c>
      <c r="P24" s="4">
        <v>11.96</v>
      </c>
      <c r="Q24" s="4">
        <v>14.39</v>
      </c>
      <c r="R24" s="4">
        <v>13.28</v>
      </c>
      <c r="S24" s="4">
        <v>13.17</v>
      </c>
      <c r="T24" s="4">
        <v>13.3</v>
      </c>
      <c r="U24" s="4">
        <v>12.81</v>
      </c>
      <c r="V24" s="4">
        <v>12.29</v>
      </c>
      <c r="W24" s="4">
        <v>12.4</v>
      </c>
      <c r="X24" s="4">
        <v>12.06</v>
      </c>
      <c r="Y24" s="4">
        <v>12.44</v>
      </c>
      <c r="Z24" s="4">
        <v>12.9</v>
      </c>
      <c r="AA24" s="4">
        <v>13.55</v>
      </c>
      <c r="AB24" s="4">
        <v>14.52</v>
      </c>
      <c r="AC24" s="4">
        <v>15.27</v>
      </c>
      <c r="AD24" s="4">
        <v>15</v>
      </c>
      <c r="AE24" s="4">
        <v>14.06</v>
      </c>
      <c r="AF24" s="4">
        <v>13.94</v>
      </c>
      <c r="AG24" s="4">
        <v>13.4</v>
      </c>
      <c r="AH24" s="4">
        <v>13.2</v>
      </c>
      <c r="AI24" s="4">
        <v>13.46</v>
      </c>
      <c r="AJ24" s="4">
        <v>13</v>
      </c>
      <c r="AK24" s="4">
        <v>12.99</v>
      </c>
      <c r="AL24" s="4">
        <v>13.58</v>
      </c>
      <c r="AM24" s="4">
        <v>14.25</v>
      </c>
      <c r="AN24" s="4">
        <v>16.02</v>
      </c>
      <c r="AO24" s="4">
        <v>16.2</v>
      </c>
      <c r="AP24" s="4">
        <v>16.440000000000001</v>
      </c>
      <c r="AQ24" s="4">
        <v>16.91</v>
      </c>
      <c r="AR24" s="4">
        <v>16.37</v>
      </c>
      <c r="AS24" s="4">
        <v>16.260000000000002</v>
      </c>
      <c r="AT24" s="4">
        <v>17.45</v>
      </c>
      <c r="AU24" s="4">
        <v>17.385000000000002</v>
      </c>
      <c r="AV24" s="4">
        <v>16.739999999999998</v>
      </c>
      <c r="AW24" s="4">
        <v>16.88</v>
      </c>
      <c r="AX24" s="4">
        <v>17.100000000000001</v>
      </c>
      <c r="AY24" s="12">
        <v>17.649999999999999</v>
      </c>
      <c r="AZ24" s="12">
        <v>17.170000000000002</v>
      </c>
      <c r="BA24" s="12">
        <v>16.95</v>
      </c>
      <c r="BB24" s="15">
        <v>16.34</v>
      </c>
      <c r="BC24" s="52">
        <v>16.93</v>
      </c>
      <c r="BD24" s="52">
        <v>16.46</v>
      </c>
      <c r="BE24" s="52">
        <v>16</v>
      </c>
      <c r="BF24" s="52">
        <v>15.89</v>
      </c>
      <c r="BG24" s="67">
        <v>15.11</v>
      </c>
      <c r="BH24" s="52">
        <v>15.01</v>
      </c>
      <c r="BI24" s="52">
        <v>14.62</v>
      </c>
      <c r="BJ24" s="52">
        <v>15.46</v>
      </c>
      <c r="BK24" s="52">
        <v>15.56</v>
      </c>
      <c r="BL24" s="52" cm="1">
        <f t="array" aca="1" ref="BL24" ca="1">_FV(EC24,"Preço")</f>
        <v>15.56</v>
      </c>
      <c r="BM24" s="69" t="s">
        <v>21</v>
      </c>
      <c r="BN24" s="36" cm="1">
        <f t="array" aca="1" ref="BN24" ca="1">_FV(EC24,"Média de volume",TRUE)</f>
        <v>476870</v>
      </c>
      <c r="BO24" s="36">
        <v>147900</v>
      </c>
      <c r="BP24" s="36" cm="1">
        <f t="array" aca="1" ref="BP24" ca="1">_FV(EC24,"Volume")</f>
        <v>147900</v>
      </c>
      <c r="BQ24" s="24" cm="1">
        <f t="array" aca="1" ref="BQ24" ca="1">_FV(EC24,"Beta")</f>
        <v>1.0428999999999999</v>
      </c>
      <c r="BR24" s="71" cm="1">
        <f t="array" aca="1" ref="BR24" ca="1">_FV(EC24,"Variação (%)",TRUE)</f>
        <v>5.1680000000000007E-3</v>
      </c>
      <c r="BT24" s="17" cm="1">
        <f t="array" aca="1" ref="BT24" ca="1">_FV(EC24,"Baixo")</f>
        <v>15.4</v>
      </c>
      <c r="BU24" s="17" cm="1">
        <f t="array" aca="1" ref="BU24" ca="1">_FV(EC24,"Alto")</f>
        <v>15.58</v>
      </c>
      <c r="BV24" s="24"/>
      <c r="BW24" s="63">
        <f ca="1">SQRT(22.5*(BL24/VLOOKUP(BM24,Fundamentus!A:U,3,FALSE))*(BL24/VLOOKUP(BM24,Fundamentus!A:U,4,FALSE)))</f>
        <v>6.2512873853451207</v>
      </c>
      <c r="BY24" s="62">
        <f t="shared" ca="1" si="24"/>
        <v>0</v>
      </c>
      <c r="BZ24" s="8"/>
      <c r="CA24" s="61">
        <f t="shared" si="25"/>
        <v>10.19</v>
      </c>
      <c r="CB24" s="61">
        <f t="shared" si="26"/>
        <v>17.649999999999999</v>
      </c>
      <c r="CC24" s="61">
        <f t="shared" si="27"/>
        <v>14.001825396825398</v>
      </c>
      <c r="CD24" s="14"/>
      <c r="CE24" s="35">
        <f t="shared" si="1"/>
        <v>14.462318243199267</v>
      </c>
      <c r="CF24" s="15">
        <f t="shared" si="28"/>
        <v>15.287000000000035</v>
      </c>
      <c r="CG24" s="35">
        <f t="shared" si="2"/>
        <v>16.111681756800802</v>
      </c>
      <c r="CI24" s="14"/>
      <c r="CJ24" s="17">
        <f t="shared" si="3"/>
        <v>3.7566666666666659</v>
      </c>
      <c r="CK24" s="17">
        <f t="shared" si="4"/>
        <v>6.9733333333333327</v>
      </c>
      <c r="CL24" s="17">
        <f t="shared" si="5"/>
        <v>11.216666666666665</v>
      </c>
      <c r="CM24" s="38">
        <f t="shared" si="29"/>
        <v>14.433333333333332</v>
      </c>
      <c r="CN24" s="17">
        <f t="shared" si="6"/>
        <v>18.676666666666662</v>
      </c>
      <c r="CO24" s="17">
        <f t="shared" si="7"/>
        <v>21.893333333333331</v>
      </c>
      <c r="CP24" s="17">
        <f t="shared" si="8"/>
        <v>26.136666666666663</v>
      </c>
      <c r="CQ24" s="2" cm="1">
        <f t="array" aca="1" ref="CQ24" ca="1">MAX(_xlfn._xlws.FILTER(CJ24:CP24,CJ24:CP24&lt;BL24))</f>
        <v>14.433333333333332</v>
      </c>
      <c r="CR24" s="2" cm="1">
        <f t="array" aca="1" ref="CR24" ca="1">MIN(_xlfn._xlws.FILTER($CJ24:$CP24,$CJ24:$CP24&gt;BL24))</f>
        <v>18.676666666666662</v>
      </c>
      <c r="CS24" s="16">
        <f t="shared" ca="1" si="63"/>
        <v>0.29399538106235545</v>
      </c>
      <c r="CT24" s="20">
        <f t="shared" ca="1" si="64"/>
        <v>-0.14699769053117773</v>
      </c>
      <c r="CU24" s="20">
        <f t="shared" ca="1" si="65"/>
        <v>-9.799846035411848E-2</v>
      </c>
      <c r="CV24" s="20">
        <f t="shared" ca="1" si="66"/>
        <v>-5.8799076212471088E-2</v>
      </c>
      <c r="CW24" s="20">
        <f t="shared" ca="1" si="67"/>
        <v>-3.2666153451372831E-2</v>
      </c>
      <c r="CX24" s="20">
        <f t="shared" ca="1" si="68"/>
        <v>-1.7293845944844437E-2</v>
      </c>
      <c r="CY24" s="20">
        <f t="shared" ca="1" si="69"/>
        <v>-8.9089509412834979E-3</v>
      </c>
      <c r="CZ24" s="20">
        <f t="shared" ca="1" si="70"/>
        <v>-4.5230058624977764E-3</v>
      </c>
      <c r="DA24" s="21">
        <f t="shared" ca="1" si="71"/>
        <v>4.5230058624977764E-3</v>
      </c>
      <c r="DB24" s="21">
        <f t="shared" ca="1" si="72"/>
        <v>8.9089509412834979E-3</v>
      </c>
      <c r="DC24" s="21">
        <f t="shared" ca="1" si="73"/>
        <v>1.7293845944844437E-2</v>
      </c>
      <c r="DD24" s="21">
        <f t="shared" ca="1" si="74"/>
        <v>3.2666153451372831E-2</v>
      </c>
      <c r="DE24" s="21">
        <f t="shared" ca="1" si="75"/>
        <v>5.8799076212471088E-2</v>
      </c>
      <c r="DF24" s="21">
        <f t="shared" ca="1" si="76"/>
        <v>9.799846035411848E-2</v>
      </c>
      <c r="DG24" s="21">
        <f t="shared" ca="1" si="77"/>
        <v>0.14699769053117773</v>
      </c>
      <c r="DI24" s="16" cm="1">
        <f t="array" aca="1" ref="DI24" ca="1">MAX(_xlfn._xlws.FILTER(CT24:DG24,CT24:DG24&lt;BR24))</f>
        <v>4.5230058624977764E-3</v>
      </c>
      <c r="DJ24" s="16" cm="1">
        <f t="array" aca="1" ref="DJ24" ca="1">MIN(_xlfn._xlws.FILTER(CT24:DG24,CT24:DG24&gt;BR24))</f>
        <v>8.9089509412834979E-3</v>
      </c>
      <c r="DK24" s="2" cm="1">
        <f t="array" aca="1" ref="DK24" ca="1">_FV(EC24,"Fechamento anterior",TRUE)</f>
        <v>15.48</v>
      </c>
      <c r="DL24" s="28">
        <f t="shared" ca="1" si="15"/>
        <v>0.14704990195899625</v>
      </c>
      <c r="DM24" s="15">
        <f t="shared" ca="1" si="78"/>
        <v>15.550016130751466</v>
      </c>
      <c r="DN24" s="15">
        <f t="shared" ca="1" si="79"/>
        <v>15.617910560571069</v>
      </c>
      <c r="DO24" s="9"/>
      <c r="DP24" s="9"/>
      <c r="DQ24" s="9"/>
      <c r="DR24" s="89">
        <v>7.2657049167790012E-3</v>
      </c>
      <c r="DS24" s="89">
        <v>8.2208097547411332E-3</v>
      </c>
      <c r="DT24" s="89">
        <v>9.0460117249955528E-3</v>
      </c>
      <c r="DU24" s="89">
        <v>4.3859450787857215E-3</v>
      </c>
      <c r="DV24" s="89">
        <f t="shared" ca="1" si="18"/>
        <v>4.3859450787857215E-3</v>
      </c>
      <c r="DW24" s="72">
        <f t="shared" ca="1" si="19"/>
        <v>0.33103678812907111</v>
      </c>
      <c r="DX24" s="37"/>
      <c r="DY24" s="35">
        <f t="shared" si="39"/>
        <v>0.41234087840038419</v>
      </c>
      <c r="DZ24" s="56"/>
      <c r="EA24" s="56"/>
      <c r="EC24" s="2" t="e" vm="24">
        <v>#VALUE!</v>
      </c>
      <c r="EE24" s="10" cm="1">
        <f t="array" aca="1" ref="EE24" ca="1">_FV(EC24,"Ações em circulação",TRUE)</f>
        <v>56720760</v>
      </c>
      <c r="EF24" s="18">
        <f>VLOOKUP(BM24,Fundamentus!A:U,5,FALSE)</f>
        <v>0.56299999999999994</v>
      </c>
      <c r="EG24" s="2">
        <f t="shared" ca="1" si="20"/>
        <v>1567628819.8934283</v>
      </c>
      <c r="EH24" s="17">
        <v>36212225.739538193</v>
      </c>
      <c r="EI24" s="17">
        <f t="shared" ca="1" si="21"/>
        <v>36212225.739538193</v>
      </c>
      <c r="EK24" s="16">
        <f t="shared" ca="1" si="22"/>
        <v>0</v>
      </c>
      <c r="EL24" s="32" t="str">
        <f>IF(VLOOKUP(BM24,Fundamentus!A:U,3,FALSE)&lt;15,"Bom",IF(VLOOKUP(BM24,Fundamentus!A:U,3,FALSE)&gt;15,"Ruim","n/a"))</f>
        <v>Ruim</v>
      </c>
      <c r="EM24" s="28" t="str">
        <f>IF(VLOOKUP(BM24,Fundamentus!A:U,4,FALSE)&lt;1,"Baixo",IF(VLOOKUP(BM24,Fundamentus!A:U,4,FALSE)&lt;1.5,"Moderado",IF(VLOOKUP(BM24,Fundamentus!A:U,4,FALSE)&gt;1.5,"Alto","n/a")))</f>
        <v>Alto</v>
      </c>
      <c r="EN24" s="17" t="str">
        <f>IF(VLOOKUP(BM24,Fundamentus!A:U,8,FALSE)&lt;0,"Risco elevado",IF(VLOOKUP(BM24,Fundamentus!A:U,8,FALSE)&lt;1,"Saudável",IF(VLOOKUP(BM24,Fundamentus!A:U,8,FALSE)&lt;3,"Estável",IF(VLOOKUP(BM24,Fundamentus!A:U,8,FALSE)&gt;3,"Alerta","n/a"))))</f>
        <v>Estável</v>
      </c>
      <c r="EO24" s="28" t="str">
        <f t="shared" si="23"/>
        <v>Ruim</v>
      </c>
      <c r="EP24" s="17" t="str">
        <f>IF(VLOOKUP(BM24,Fundamentus!A:U,12,FALSE)&lt;2,"Subvalorizada",IF(VLOOKUP(BM24,Fundamentus!A:U,12,FALSE)&lt;6,"Muita barata",IF(VLOOKUP(BM24,Fundamentus!A:U,12,FALSE)&lt;6,"Barata",IF(VLOOKUP(BM24,Fundamentus!A:U,12,FALSE)&lt;8,"Atrativa",IF(VLOOKUP(BM24,Fundamentus!A:U,12,FALSE)&gt;8,"Supervalorizada","n/a")))))</f>
        <v>Atrativa</v>
      </c>
      <c r="ER24" s="17" t="str">
        <f>IF(VLOOKUP(BM24,Fundamentus!A:U,17,FALSE)&lt;0.1,"Fraco retorno",IF(VLOOKUP(BM24,Fundamentus!A:U,17,FALSE)&gt;0.1,"Bom retorno","n/a"))</f>
        <v>Fraco retorno</v>
      </c>
      <c r="ES24" s="17" t="str">
        <f>IF(VLOOKUP(BM24,Fundamentus!A:U,16,FALSE)&lt;0.1,"Ineficiente",IF(VLOOKUP(BM24,Fundamentus!A:U,16,FALSE)&gt;0.1,"Eficiente","n/a"))</f>
        <v>Ineficiente</v>
      </c>
      <c r="ET24" s="33" t="str">
        <f>IF(VLOOKUP(BM24,Fundamentus!A:U,16,FALSE)&lt;0.1,"Oper. Ineficiente",IF(VLOOKUP(BM24,Fundamentus!A:U,16,FALSE)&gt;0.1,"Oper.Eficiente","n/a"))</f>
        <v>Oper. Ineficiente</v>
      </c>
      <c r="EU24" s="34">
        <f>VLOOKUP(BM24,Fundamentus!A:U,14,FALSE)</f>
        <v>2.3099999999999999E-2</v>
      </c>
      <c r="EV24" s="17" t="str">
        <f>IF(VLOOKUP(BM24,Fundamentus!A:U,21,FALSE)&lt;0,"Negativo",IF(VLOOKUP(BM24,Fundamentus!A:U,21,FALSE)&lt;0.05,"Fraco",IF(VLOOKUP(BM24,Fundamentus!A:U,21,FALSE)&lt;0.1,"Bom",IF(VLOOKUP(BM24,Fundamentus!A:U,21,FALSE)&gt;0.1,"Muito bom","n/a"))))</f>
        <v>Muito bom</v>
      </c>
      <c r="EX24" s="29" t="str">
        <f>IF(VLOOKUP(BM24,Fundamentus!A:U,15,FALSE)&gt;1,"Bom",IF(VLOOKUP(BM24,Fundamentus!A:U,15,FALSE)&lt;1,"Ruim","n/a"))</f>
        <v>Bom</v>
      </c>
      <c r="EY24" s="17" t="str">
        <f>IF(VLOOKUP(BM24,Fundamentus!A:U,20,FALSE)&lt;0.5,"Baixa",IF(VLOOKUP(BM24,Fundamentus!A:U,20,FALSE)&lt;1,"Moderada",IF(VLOOKUP(BM24,Fundamentus!A:U,20,FALSE)&lt;2,"Alerta",IF(VLOOKUP(BM24,Fundamentus!A:U,20,FALSE)&gt;2,"Alta","n/a"))))</f>
        <v>Alerta</v>
      </c>
    </row>
    <row r="25" spans="1:156" s="2" customFormat="1" ht="11.25" x14ac:dyDescent="0.2">
      <c r="A25" s="4">
        <v>10.52</v>
      </c>
      <c r="B25" s="4">
        <v>10.28</v>
      </c>
      <c r="C25" s="4">
        <v>10.39</v>
      </c>
      <c r="D25" s="4">
        <v>10.35</v>
      </c>
      <c r="E25" s="4">
        <v>9.94</v>
      </c>
      <c r="F25" s="4">
        <v>10.18</v>
      </c>
      <c r="G25" s="4">
        <v>10.01</v>
      </c>
      <c r="H25" s="4">
        <v>10.51</v>
      </c>
      <c r="I25" s="4">
        <v>9.9</v>
      </c>
      <c r="J25" s="4">
        <v>10.37</v>
      </c>
      <c r="K25" s="4">
        <v>10.68</v>
      </c>
      <c r="L25" s="4">
        <v>10.55</v>
      </c>
      <c r="M25" s="4">
        <v>10.78</v>
      </c>
      <c r="N25" s="4">
        <v>10.68</v>
      </c>
      <c r="O25" s="4">
        <v>10.86</v>
      </c>
      <c r="P25" s="4">
        <v>11.61</v>
      </c>
      <c r="Q25" s="4">
        <v>12.01</v>
      </c>
      <c r="R25" s="4">
        <v>11.63</v>
      </c>
      <c r="S25" s="4">
        <v>11.84</v>
      </c>
      <c r="T25" s="4">
        <v>11.77</v>
      </c>
      <c r="U25" s="4">
        <v>11.57</v>
      </c>
      <c r="V25" s="4">
        <v>11.32</v>
      </c>
      <c r="W25" s="4">
        <v>11.16</v>
      </c>
      <c r="X25" s="4">
        <v>11.02</v>
      </c>
      <c r="Y25" s="4">
        <v>11.03</v>
      </c>
      <c r="Z25" s="4">
        <v>11.15</v>
      </c>
      <c r="AA25" s="4">
        <v>11.36</v>
      </c>
      <c r="AB25" s="4">
        <v>11.3</v>
      </c>
      <c r="AC25" s="4">
        <v>12.09</v>
      </c>
      <c r="AD25" s="4">
        <v>11.7</v>
      </c>
      <c r="AE25" s="4">
        <v>11.91</v>
      </c>
      <c r="AF25" s="4">
        <v>11.5</v>
      </c>
      <c r="AG25" s="4">
        <v>11.42</v>
      </c>
      <c r="AH25" s="4">
        <v>11.1</v>
      </c>
      <c r="AI25" s="4">
        <v>11.04</v>
      </c>
      <c r="AJ25" s="4">
        <v>10.84</v>
      </c>
      <c r="AK25" s="4">
        <v>10.47</v>
      </c>
      <c r="AL25" s="4">
        <v>10.46</v>
      </c>
      <c r="AM25" s="4">
        <v>10.5</v>
      </c>
      <c r="AN25" s="4">
        <v>10.96</v>
      </c>
      <c r="AO25" s="4">
        <v>10.97</v>
      </c>
      <c r="AP25" s="4">
        <v>11.38</v>
      </c>
      <c r="AQ25" s="4">
        <v>11.25</v>
      </c>
      <c r="AR25" s="4">
        <v>11.13</v>
      </c>
      <c r="AS25" s="4">
        <v>11.36</v>
      </c>
      <c r="AT25" s="4">
        <v>10.98</v>
      </c>
      <c r="AU25" s="4">
        <v>11.055</v>
      </c>
      <c r="AV25" s="4">
        <v>10.36</v>
      </c>
      <c r="AW25" s="4">
        <v>10</v>
      </c>
      <c r="AX25" s="4">
        <v>10.11</v>
      </c>
      <c r="AY25" s="12">
        <v>10.35</v>
      </c>
      <c r="AZ25" s="12">
        <v>10.93</v>
      </c>
      <c r="BA25" s="12">
        <v>10.95</v>
      </c>
      <c r="BB25" s="15">
        <v>10.41</v>
      </c>
      <c r="BC25" s="52">
        <v>10.53</v>
      </c>
      <c r="BD25" s="52">
        <v>10.7</v>
      </c>
      <c r="BE25" s="52">
        <v>10.84</v>
      </c>
      <c r="BF25" s="52">
        <v>10.48</v>
      </c>
      <c r="BG25" s="67">
        <v>10.57</v>
      </c>
      <c r="BH25" s="52">
        <v>10.75</v>
      </c>
      <c r="BI25" s="52">
        <v>10.48</v>
      </c>
      <c r="BJ25" s="52">
        <v>11.18</v>
      </c>
      <c r="BK25" s="52">
        <v>10.8</v>
      </c>
      <c r="BL25" s="52" cm="1">
        <f t="array" aca="1" ref="BL25" ca="1">_FV(EC25,"Preço")</f>
        <v>10.8</v>
      </c>
      <c r="BM25" s="69" t="s">
        <v>22</v>
      </c>
      <c r="BN25" s="36" cm="1">
        <f t="array" aca="1" ref="BN25" ca="1">_FV(EC25,"Média de volume",TRUE)</f>
        <v>10926490</v>
      </c>
      <c r="BO25" s="36">
        <v>9662200</v>
      </c>
      <c r="BP25" s="36" cm="1">
        <f t="array" aca="1" ref="BP25" ca="1">_FV(EC25,"Volume")</f>
        <v>9662200</v>
      </c>
      <c r="BQ25" s="24" cm="1">
        <f t="array" aca="1" ref="BQ25" ca="1">_FV(EC25,"Beta")</f>
        <v>0.81379999999999997</v>
      </c>
      <c r="BR25" s="71" cm="1">
        <f t="array" aca="1" ref="BR25" ca="1">_FV(EC25,"Variação (%)",TRUE)</f>
        <v>9.2679999999999998E-4</v>
      </c>
      <c r="BT25" s="17" cm="1">
        <f t="array" aca="1" ref="BT25" ca="1">_FV(EC25,"Baixo")</f>
        <v>10.74</v>
      </c>
      <c r="BU25" s="17" cm="1">
        <f t="array" aca="1" ref="BU25" ca="1">_FV(EC25,"Alto")</f>
        <v>10.89</v>
      </c>
      <c r="BV25" s="24"/>
      <c r="BW25" s="63">
        <f ca="1">SQRT(22.5*(BL25/VLOOKUP(BM25,Fundamentus!A:U,3,FALSE))*(BL25/VLOOKUP(BM25,Fundamentus!A:U,4,FALSE)))</f>
        <v>23.717082451262844</v>
      </c>
      <c r="BY25" s="62">
        <f t="shared" ca="1" si="24"/>
        <v>0</v>
      </c>
      <c r="BZ25" s="8"/>
      <c r="CA25" s="61">
        <f t="shared" si="25"/>
        <v>9.9</v>
      </c>
      <c r="CB25" s="61">
        <f t="shared" si="26"/>
        <v>12.09</v>
      </c>
      <c r="CC25" s="61">
        <f t="shared" si="27"/>
        <v>10.894047619047619</v>
      </c>
      <c r="CD25" s="14"/>
      <c r="CE25" s="35">
        <f t="shared" si="1"/>
        <v>10.357831309161492</v>
      </c>
      <c r="CF25" s="15">
        <f t="shared" si="28"/>
        <v>10.845000000000027</v>
      </c>
      <c r="CG25" s="35">
        <f t="shared" si="2"/>
        <v>11.332168690838563</v>
      </c>
      <c r="CI25" s="14"/>
      <c r="CJ25" s="17">
        <f t="shared" si="3"/>
        <v>7.8333333333333339</v>
      </c>
      <c r="CK25" s="17">
        <f t="shared" si="4"/>
        <v>8.8666666666666671</v>
      </c>
      <c r="CL25" s="17">
        <f t="shared" si="5"/>
        <v>10.023333333333333</v>
      </c>
      <c r="CM25" s="38">
        <f t="shared" si="29"/>
        <v>11.056666666666667</v>
      </c>
      <c r="CN25" s="17">
        <f t="shared" si="6"/>
        <v>12.213333333333333</v>
      </c>
      <c r="CO25" s="17">
        <f t="shared" si="7"/>
        <v>13.246666666666666</v>
      </c>
      <c r="CP25" s="17">
        <f t="shared" si="8"/>
        <v>14.403333333333332</v>
      </c>
      <c r="CQ25" s="2" cm="1">
        <f t="array" aca="1" ref="CQ25" ca="1">MAX(_xlfn._xlws.FILTER(CJ25:CP25,CJ25:CP25&lt;BL25))</f>
        <v>10.023333333333333</v>
      </c>
      <c r="CR25" s="2" cm="1">
        <f t="array" aca="1" ref="CR25" ca="1">MIN(_xlfn._xlws.FILTER($CJ25:$CP25,$CJ25:$CP25&gt;BL25))</f>
        <v>11.056666666666667</v>
      </c>
      <c r="CS25" s="16">
        <f t="shared" ca="1" si="63"/>
        <v>0.10309278350515472</v>
      </c>
      <c r="CT25" s="20">
        <f t="shared" ca="1" si="64"/>
        <v>-5.1546391752577359E-2</v>
      </c>
      <c r="CU25" s="20">
        <f t="shared" ca="1" si="65"/>
        <v>-3.4364261168384903E-2</v>
      </c>
      <c r="CV25" s="20">
        <f t="shared" ca="1" si="66"/>
        <v>-2.0618556701030945E-2</v>
      </c>
      <c r="CW25" s="20">
        <f t="shared" ca="1" si="67"/>
        <v>-1.1454753722794968E-2</v>
      </c>
      <c r="CX25" s="20">
        <f t="shared" ca="1" si="68"/>
        <v>-6.0642813826561597E-3</v>
      </c>
      <c r="CY25" s="20">
        <f t="shared" ca="1" si="69"/>
        <v>-3.124023742580446E-3</v>
      </c>
      <c r="CZ25" s="20">
        <f t="shared" ca="1" si="70"/>
        <v>-1.5860428231562265E-3</v>
      </c>
      <c r="DA25" s="21">
        <f t="shared" ca="1" si="71"/>
        <v>1.5860428231562265E-3</v>
      </c>
      <c r="DB25" s="21">
        <f t="shared" ca="1" si="72"/>
        <v>3.124023742580446E-3</v>
      </c>
      <c r="DC25" s="21">
        <f t="shared" ca="1" si="73"/>
        <v>6.0642813826561597E-3</v>
      </c>
      <c r="DD25" s="21">
        <f t="shared" ca="1" si="74"/>
        <v>1.1454753722794968E-2</v>
      </c>
      <c r="DE25" s="21">
        <f t="shared" ca="1" si="75"/>
        <v>2.0618556701030945E-2</v>
      </c>
      <c r="DF25" s="21">
        <f t="shared" ca="1" si="76"/>
        <v>3.4364261168384903E-2</v>
      </c>
      <c r="DG25" s="21">
        <f t="shared" ca="1" si="77"/>
        <v>5.1546391752577359E-2</v>
      </c>
      <c r="DI25" s="16" cm="1">
        <f t="array" aca="1" ref="DI25" ca="1">MAX(_xlfn._xlws.FILTER(CT25:DG25,CT25:DG25&lt;BR25))</f>
        <v>-1.5860428231562265E-3</v>
      </c>
      <c r="DJ25" s="16" cm="1">
        <f t="array" aca="1" ref="DJ25" ca="1">MIN(_xlfn._xlws.FILTER(CT25:DG25,CT25:DG25&gt;BR25))</f>
        <v>1.5860428231562265E-3</v>
      </c>
      <c r="DK25" s="2" cm="1">
        <f t="array" aca="1" ref="DK25" ca="1">_FV(EC25,"Fechamento anterior",TRUE)</f>
        <v>10.79</v>
      </c>
      <c r="DL25" s="28">
        <f t="shared" ca="1" si="15"/>
        <v>0.79216867469883578</v>
      </c>
      <c r="DM25" s="15">
        <f t="shared" ca="1" si="78"/>
        <v>10.772886597938143</v>
      </c>
      <c r="DN25" s="15">
        <f t="shared" ca="1" si="79"/>
        <v>10.807113402061855</v>
      </c>
      <c r="DO25" s="9"/>
      <c r="DP25" s="9"/>
      <c r="DQ25" s="9"/>
      <c r="DR25" s="89">
        <v>6.8383063370275584E-3</v>
      </c>
      <c r="DS25" s="89">
        <v>1.9184512772034449E-3</v>
      </c>
      <c r="DT25" s="89">
        <v>9.2988979332060441E-3</v>
      </c>
      <c r="DU25" s="89">
        <v>3.172085646312453E-3</v>
      </c>
      <c r="DV25" s="89">
        <f t="shared" ca="1" si="18"/>
        <v>3.172085646312453E-3</v>
      </c>
      <c r="DW25" s="72">
        <f t="shared" ca="1" si="19"/>
        <v>-9.2370468066350228E-2</v>
      </c>
      <c r="DX25" s="37"/>
      <c r="DY25" s="35">
        <f t="shared" si="39"/>
        <v>0.24358434541926793</v>
      </c>
      <c r="DZ25" s="56"/>
      <c r="EA25" s="56"/>
      <c r="EC25" s="2" t="e" vm="25">
        <v>#VALUE!</v>
      </c>
      <c r="EE25" s="10" cm="1">
        <f t="array" aca="1" ref="EE25" ca="1">_FV(EC25,"Ações em circulação",TRUE)</f>
        <v>2861782000</v>
      </c>
      <c r="EF25" s="18">
        <f>VLOOKUP(BM25,Fundamentus!A:U,5,FALSE)</f>
        <v>0.745</v>
      </c>
      <c r="EG25" s="2">
        <f t="shared" ca="1" si="20"/>
        <v>41486235704.69799</v>
      </c>
      <c r="EH25" s="17">
        <v>7156375659.0604029</v>
      </c>
      <c r="EI25" s="17">
        <f t="shared" ca="1" si="21"/>
        <v>7156375659.0604029</v>
      </c>
      <c r="EK25" s="16">
        <f t="shared" ca="1" si="22"/>
        <v>0</v>
      </c>
      <c r="EL25" s="32" t="str">
        <f>IF(VLOOKUP(BM25,Fundamentus!A:U,3,FALSE)&lt;15,"Bom",IF(VLOOKUP(BM25,Fundamentus!A:U,3,FALSE)&gt;15,"Ruim","n/a"))</f>
        <v>Bom</v>
      </c>
      <c r="EM25" s="28" t="str">
        <f>IF(VLOOKUP(BM25,Fundamentus!A:U,4,FALSE)&lt;1,"Baixo",IF(VLOOKUP(BM25,Fundamentus!A:U,4,FALSE)&lt;1.5,"Moderado",IF(VLOOKUP(BM25,Fundamentus!A:U,4,FALSE)&gt;1.5,"Alto","n/a")))</f>
        <v>Moderado</v>
      </c>
      <c r="EN25" s="17" t="str">
        <f>IF(VLOOKUP(BM25,Fundamentus!A:U,8,FALSE)&lt;0,"Risco elevado",IF(VLOOKUP(BM25,Fundamentus!A:U,8,FALSE)&lt;1,"Saudável",IF(VLOOKUP(BM25,Fundamentus!A:U,8,FALSE)&lt;3,"Estável",IF(VLOOKUP(BM25,Fundamentus!A:U,8,FALSE)&gt;3,"Alerta","n/a"))))</f>
        <v>Alerta</v>
      </c>
      <c r="EO25" s="28" t="str">
        <f t="shared" si="23"/>
        <v>Ruim</v>
      </c>
      <c r="EP25" s="17" t="str">
        <f>IF(VLOOKUP(BM25,Fundamentus!A:U,12,FALSE)&lt;2,"Subvalorizada",IF(VLOOKUP(BM25,Fundamentus!A:U,12,FALSE)&lt;6,"Muita barata",IF(VLOOKUP(BM25,Fundamentus!A:U,12,FALSE)&lt;6,"Barata",IF(VLOOKUP(BM25,Fundamentus!A:U,12,FALSE)&lt;8,"Atrativa",IF(VLOOKUP(BM25,Fundamentus!A:U,12,FALSE)&gt;8,"Supervalorizada","n/a")))))</f>
        <v>Muita barata</v>
      </c>
      <c r="ER25" s="17" t="str">
        <f>IF(VLOOKUP(BM25,Fundamentus!A:U,17,FALSE)&lt;0.1,"Fraco retorno",IF(VLOOKUP(BM25,Fundamentus!A:U,17,FALSE)&gt;0.1,"Bom retorno","n/a"))</f>
        <v>Bom retorno</v>
      </c>
      <c r="ES25" s="17" t="str">
        <f>IF(VLOOKUP(BM25,Fundamentus!A:U,16,FALSE)&lt;0.1,"Ineficiente",IF(VLOOKUP(BM25,Fundamentus!A:U,16,FALSE)&gt;0.1,"Eficiente","n/a"))</f>
        <v>Eficiente</v>
      </c>
      <c r="ET25" s="33" t="str">
        <f>IF(VLOOKUP(BM25,Fundamentus!A:U,16,FALSE)&lt;0.1,"Oper. Ineficiente",IF(VLOOKUP(BM25,Fundamentus!A:U,16,FALSE)&gt;0.1,"Oper.Eficiente","n/a"))</f>
        <v>Oper.Eficiente</v>
      </c>
      <c r="EU25" s="34">
        <f>VLOOKUP(BM25,Fundamentus!A:U,14,FALSE)</f>
        <v>0.17249999999999999</v>
      </c>
      <c r="EV25" s="17" t="str">
        <f>IF(VLOOKUP(BM25,Fundamentus!A:U,21,FALSE)&lt;0,"Negativo",IF(VLOOKUP(BM25,Fundamentus!A:U,21,FALSE)&lt;0.05,"Fraco",IF(VLOOKUP(BM25,Fundamentus!A:U,21,FALSE)&lt;0.1,"Bom",IF(VLOOKUP(BM25,Fundamentus!A:U,21,FALSE)&gt;0.1,"Muito bom","n/a"))))</f>
        <v>Bom</v>
      </c>
      <c r="EX25" s="29" t="str">
        <f>IF(VLOOKUP(BM25,Fundamentus!A:U,15,FALSE)&gt;1,"Bom",IF(VLOOKUP(BM25,Fundamentus!A:U,15,FALSE)&lt;1,"Ruim","n/a"))</f>
        <v>Bom</v>
      </c>
      <c r="EY25" s="17" t="str">
        <f>IF(VLOOKUP(BM25,Fundamentus!A:U,20,FALSE)&lt;0.5,"Baixa",IF(VLOOKUP(BM25,Fundamentus!A:U,20,FALSE)&lt;1,"Moderada",IF(VLOOKUP(BM25,Fundamentus!A:U,20,FALSE)&lt;2,"Alerta",IF(VLOOKUP(BM25,Fundamentus!A:U,20,FALSE)&gt;2,"Alta","n/a"))))</f>
        <v>Moderada</v>
      </c>
    </row>
    <row r="26" spans="1:156" s="2" customFormat="1" ht="11.25" x14ac:dyDescent="0.2">
      <c r="A26" s="4">
        <v>9.6</v>
      </c>
      <c r="B26" s="4">
        <v>9.56</v>
      </c>
      <c r="C26" s="4">
        <v>9.5</v>
      </c>
      <c r="D26" s="4">
        <v>9.6999999999999993</v>
      </c>
      <c r="E26" s="4">
        <v>9.75</v>
      </c>
      <c r="F26" s="4">
        <v>9.49</v>
      </c>
      <c r="G26" s="4">
        <v>9.3800000000000008</v>
      </c>
      <c r="H26" s="4">
        <v>9.59</v>
      </c>
      <c r="I26" s="4">
        <v>9.74</v>
      </c>
      <c r="J26" s="4">
        <v>9.65</v>
      </c>
      <c r="K26" s="4">
        <v>9.8000000000000007</v>
      </c>
      <c r="L26" s="4">
        <v>9.7200000000000006</v>
      </c>
      <c r="M26" s="4">
        <v>9.77</v>
      </c>
      <c r="N26" s="4">
        <v>9.6199999999999992</v>
      </c>
      <c r="O26" s="4">
        <v>9.35</v>
      </c>
      <c r="P26" s="4">
        <v>9.41</v>
      </c>
      <c r="Q26" s="4">
        <v>9.6999999999999993</v>
      </c>
      <c r="R26" s="4">
        <v>9.86</v>
      </c>
      <c r="S26" s="4">
        <v>9.6199999999999992</v>
      </c>
      <c r="T26" s="4">
        <v>9.6</v>
      </c>
      <c r="U26" s="4">
        <v>9.5399999999999991</v>
      </c>
      <c r="V26" s="4">
        <v>9.35</v>
      </c>
      <c r="W26" s="4">
        <v>9.2200000000000006</v>
      </c>
      <c r="X26" s="4">
        <v>9.1999999999999993</v>
      </c>
      <c r="Y26" s="4">
        <v>9.02</v>
      </c>
      <c r="Z26" s="4">
        <v>8.9</v>
      </c>
      <c r="AA26" s="4">
        <v>8.9499999999999993</v>
      </c>
      <c r="AB26" s="4">
        <v>8.76</v>
      </c>
      <c r="AC26" s="4">
        <v>8.58</v>
      </c>
      <c r="AD26" s="4">
        <v>8.61</v>
      </c>
      <c r="AE26" s="4">
        <v>8.65</v>
      </c>
      <c r="AF26" s="4">
        <v>8.61</v>
      </c>
      <c r="AG26" s="4">
        <v>8.42</v>
      </c>
      <c r="AH26" s="4">
        <v>8.4499999999999993</v>
      </c>
      <c r="AI26" s="4">
        <v>8.6999999999999993</v>
      </c>
      <c r="AJ26" s="4">
        <v>8.65</v>
      </c>
      <c r="AK26" s="4">
        <v>8.43</v>
      </c>
      <c r="AL26" s="4">
        <v>8.4</v>
      </c>
      <c r="AM26" s="4">
        <v>8.4700000000000006</v>
      </c>
      <c r="AN26" s="4">
        <v>8.51</v>
      </c>
      <c r="AO26" s="4">
        <v>8.5299999999999994</v>
      </c>
      <c r="AP26" s="4">
        <v>8.44</v>
      </c>
      <c r="AQ26" s="4">
        <v>8.42</v>
      </c>
      <c r="AR26" s="4">
        <v>8.39</v>
      </c>
      <c r="AS26" s="4">
        <v>8.42</v>
      </c>
      <c r="AT26" s="4">
        <v>8.33</v>
      </c>
      <c r="AU26" s="4">
        <v>8.4550000000000001</v>
      </c>
      <c r="AV26" s="4">
        <v>8.9</v>
      </c>
      <c r="AW26" s="4">
        <v>8.75</v>
      </c>
      <c r="AX26" s="4">
        <v>8.5500000000000007</v>
      </c>
      <c r="AY26" s="12">
        <v>8.69</v>
      </c>
      <c r="AZ26" s="12">
        <v>8.75</v>
      </c>
      <c r="BA26" s="12">
        <v>8.9700000000000006</v>
      </c>
      <c r="BB26" s="15">
        <v>8.85</v>
      </c>
      <c r="BC26" s="52">
        <v>8.73</v>
      </c>
      <c r="BD26" s="52">
        <v>8.7899999999999991</v>
      </c>
      <c r="BE26" s="52">
        <v>8.73</v>
      </c>
      <c r="BF26" s="52">
        <v>8.68</v>
      </c>
      <c r="BG26" s="67">
        <v>8.65</v>
      </c>
      <c r="BH26" s="52">
        <v>8.65</v>
      </c>
      <c r="BI26" s="52">
        <v>8.4700000000000006</v>
      </c>
      <c r="BJ26" s="52">
        <v>8.59</v>
      </c>
      <c r="BK26" s="52">
        <v>8.52</v>
      </c>
      <c r="BL26" s="52" cm="1">
        <f t="array" aca="1" ref="BL26" ca="1">_FV(EC26,"Preço")</f>
        <v>8.52</v>
      </c>
      <c r="BM26" s="69" t="s">
        <v>23</v>
      </c>
      <c r="BN26" s="36" cm="1">
        <f t="array" aca="1" ref="BN26" ca="1">_FV(EC26,"Média de volume",TRUE)</f>
        <v>13750</v>
      </c>
      <c r="BO26" s="36">
        <v>2700</v>
      </c>
      <c r="BP26" s="36" cm="1">
        <f t="array" aca="1" ref="BP26" ca="1">_FV(EC26,"Volume")</f>
        <v>2700</v>
      </c>
      <c r="BQ26" s="24" cm="1">
        <f t="array" aca="1" ref="BQ26" ca="1">_FV(EC26,"Beta")</f>
        <v>0.45379999999999998</v>
      </c>
      <c r="BR26" s="71" cm="1">
        <f t="array" aca="1" ref="BR26" ca="1">_FV(EC26,"Variação (%)",TRUE)</f>
        <v>-3.509E-3</v>
      </c>
      <c r="BT26" s="17" cm="1">
        <f t="array" aca="1" ref="BT26" ca="1">_FV(EC26,"Baixo")</f>
        <v>8.5</v>
      </c>
      <c r="BU26" s="17" cm="1">
        <f t="array" aca="1" ref="BU26" ca="1">_FV(EC26,"Alto")</f>
        <v>8.68</v>
      </c>
      <c r="BV26" s="24"/>
      <c r="BW26" s="63">
        <f ca="1">SQRT(22.5*(BL26/VLOOKUP(BM26,Fundamentus!A:U,3,FALSE))*(BL26/VLOOKUP(BM26,Fundamentus!A:U,4,FALSE)))</f>
        <v>13.730034610863605</v>
      </c>
      <c r="BY26" s="62">
        <f t="shared" ca="1" si="24"/>
        <v>0</v>
      </c>
      <c r="BZ26" s="8"/>
      <c r="CA26" s="61">
        <f t="shared" si="25"/>
        <v>8.33</v>
      </c>
      <c r="CB26" s="61">
        <f t="shared" si="26"/>
        <v>9.86</v>
      </c>
      <c r="CC26" s="61">
        <f t="shared" si="27"/>
        <v>8.9854761904761897</v>
      </c>
      <c r="CD26" s="14"/>
      <c r="CE26" s="35">
        <f t="shared" si="1"/>
        <v>8.3922692443101301</v>
      </c>
      <c r="CF26" s="15">
        <f t="shared" si="28"/>
        <v>8.5440000000000111</v>
      </c>
      <c r="CG26" s="35">
        <f t="shared" si="2"/>
        <v>8.6957307556898922</v>
      </c>
      <c r="CI26" s="14"/>
      <c r="CJ26" s="17">
        <f t="shared" si="3"/>
        <v>6.4633333333333329</v>
      </c>
      <c r="CK26" s="17">
        <f t="shared" si="4"/>
        <v>7.3966666666666665</v>
      </c>
      <c r="CL26" s="17">
        <f t="shared" si="5"/>
        <v>7.9933333333333323</v>
      </c>
      <c r="CM26" s="38">
        <f t="shared" si="29"/>
        <v>8.9266666666666659</v>
      </c>
      <c r="CN26" s="17">
        <f t="shared" si="6"/>
        <v>9.5233333333333317</v>
      </c>
      <c r="CO26" s="17">
        <f t="shared" si="7"/>
        <v>10.456666666666665</v>
      </c>
      <c r="CP26" s="17">
        <f t="shared" si="8"/>
        <v>11.053333333333331</v>
      </c>
      <c r="CQ26" s="2" cm="1">
        <f t="array" aca="1" ref="CQ26" ca="1">MAX(_xlfn._xlws.FILTER(CJ26:CP26,CJ26:CP26&lt;BL26))</f>
        <v>7.9933333333333323</v>
      </c>
      <c r="CR26" s="2" cm="1">
        <f t="array" aca="1" ref="CR26" ca="1">MIN(_xlfn._xlws.FILTER($CJ26:$CP26,$CJ26:$CP26&gt;BL26))</f>
        <v>8.9266666666666659</v>
      </c>
      <c r="CS26" s="16">
        <f t="shared" ca="1" si="63"/>
        <v>0.11676396997497918</v>
      </c>
      <c r="CT26" s="20">
        <f t="shared" ca="1" si="64"/>
        <v>-5.8381984987489588E-2</v>
      </c>
      <c r="CU26" s="20">
        <f t="shared" ca="1" si="65"/>
        <v>-3.8921323324993061E-2</v>
      </c>
      <c r="CV26" s="20">
        <f t="shared" ca="1" si="66"/>
        <v>-2.3352793994995836E-2</v>
      </c>
      <c r="CW26" s="20">
        <f t="shared" ca="1" si="67"/>
        <v>-1.2973774441664353E-2</v>
      </c>
      <c r="CX26" s="20">
        <f t="shared" ca="1" si="68"/>
        <v>-6.8684688220575982E-3</v>
      </c>
      <c r="CY26" s="20">
        <f t="shared" ca="1" si="69"/>
        <v>-3.5383021204539143E-3</v>
      </c>
      <c r="CZ26" s="20">
        <f t="shared" ca="1" si="70"/>
        <v>-1.7963687688458336E-3</v>
      </c>
      <c r="DA26" s="21">
        <f t="shared" ca="1" si="71"/>
        <v>1.7963687688458336E-3</v>
      </c>
      <c r="DB26" s="21">
        <f t="shared" ca="1" si="72"/>
        <v>3.5383021204539143E-3</v>
      </c>
      <c r="DC26" s="21">
        <f t="shared" ca="1" si="73"/>
        <v>6.8684688220575982E-3</v>
      </c>
      <c r="DD26" s="21">
        <f t="shared" ca="1" si="74"/>
        <v>1.2973774441664353E-2</v>
      </c>
      <c r="DE26" s="21">
        <f t="shared" ca="1" si="75"/>
        <v>2.3352793994995836E-2</v>
      </c>
      <c r="DF26" s="21">
        <f t="shared" ca="1" si="76"/>
        <v>3.8921323324993061E-2</v>
      </c>
      <c r="DG26" s="21">
        <f t="shared" ca="1" si="77"/>
        <v>5.8381984987489588E-2</v>
      </c>
      <c r="DI26" s="16" cm="1">
        <f t="array" aca="1" ref="DI26" ca="1">MAX(_xlfn._xlws.FILTER(CT26:DG26,CT26:DG26&lt;BR26))</f>
        <v>-3.5383021204539143E-3</v>
      </c>
      <c r="DJ26" s="16" cm="1">
        <f t="array" aca="1" ref="DJ26" ca="1">MIN(_xlfn._xlws.FILTER(CT26:DG26,CT26:DG26&gt;BR26))</f>
        <v>-1.7963687688458336E-3</v>
      </c>
      <c r="DK26" s="2" cm="1">
        <f t="array" aca="1" ref="DK26" ca="1">_FV(EC26,"Fechamento anterior",TRUE)</f>
        <v>8.5500000000000007</v>
      </c>
      <c r="DL26" s="28">
        <f t="shared" ca="1" si="15"/>
        <v>1.6952537593965207E-2</v>
      </c>
      <c r="DM26" s="15">
        <f t="shared" ca="1" si="78"/>
        <v>8.5197475168701189</v>
      </c>
      <c r="DN26" s="15">
        <f t="shared" ca="1" si="79"/>
        <v>8.5346410470263692</v>
      </c>
      <c r="DO26" s="9"/>
      <c r="DP26" s="9"/>
      <c r="DQ26" s="9"/>
      <c r="DR26" s="89">
        <v>3.5997988939165376E-3</v>
      </c>
      <c r="DS26" s="89">
        <v>3.4982444940951179E-3</v>
      </c>
      <c r="DT26" s="89">
        <v>3.5927375376916672E-3</v>
      </c>
      <c r="DU26" s="89">
        <v>1.7419333516080807E-3</v>
      </c>
      <c r="DV26" s="89">
        <f t="shared" ca="1" si="18"/>
        <v>1.7419333516080807E-3</v>
      </c>
      <c r="DW26" s="72">
        <f t="shared" ca="1" si="19"/>
        <v>-0.15817491905902459</v>
      </c>
      <c r="DX26" s="37"/>
      <c r="DY26" s="35">
        <f t="shared" si="39"/>
        <v>7.5865377844940213E-2</v>
      </c>
      <c r="DZ26" s="56"/>
      <c r="EA26" s="56"/>
      <c r="EC26" s="2" t="e" vm="26">
        <v>#VALUE!</v>
      </c>
      <c r="EE26" s="10" cm="1">
        <f t="array" aca="1" ref="EE26" ca="1">_FV(EC26,"Ações em circulação",TRUE)</f>
        <v>315912900</v>
      </c>
      <c r="EF26" s="18">
        <f>VLOOKUP(BM26,Fundamentus!A:U,5,FALSE)</f>
        <v>0</v>
      </c>
      <c r="EG26" s="2" t="e">
        <f t="shared" ca="1" si="20"/>
        <v>#DIV/0!</v>
      </c>
      <c r="EH26" s="17" t="e">
        <v>#DIV/0!</v>
      </c>
      <c r="EI26" s="17" t="e">
        <f t="shared" ca="1" si="21"/>
        <v>#DIV/0!</v>
      </c>
      <c r="EK26" s="16" t="e">
        <f t="shared" ca="1" si="22"/>
        <v>#DIV/0!</v>
      </c>
      <c r="EL26" s="32" t="str">
        <f>IF(VLOOKUP(BM26,Fundamentus!A:U,3,FALSE)&lt;15,"Bom",IF(VLOOKUP(BM26,Fundamentus!A:U,3,FALSE)&gt;15,"Ruim","n/a"))</f>
        <v>Bom</v>
      </c>
      <c r="EM26" s="28" t="str">
        <f>IF(VLOOKUP(BM26,Fundamentus!A:U,4,FALSE)&lt;1,"Baixo",IF(VLOOKUP(BM26,Fundamentus!A:U,4,FALSE)&lt;1.5,"Moderado",IF(VLOOKUP(BM26,Fundamentus!A:U,4,FALSE)&gt;1.5,"Alto","n/a")))</f>
        <v>Moderado</v>
      </c>
      <c r="EN26" s="17" t="str">
        <f>IF(VLOOKUP(BM26,Fundamentus!A:U,8,FALSE)&lt;0,"Risco elevado",IF(VLOOKUP(BM26,Fundamentus!A:U,8,FALSE)&lt;1,"Saudável",IF(VLOOKUP(BM26,Fundamentus!A:U,8,FALSE)&lt;3,"Estável",IF(VLOOKUP(BM26,Fundamentus!A:U,8,FALSE)&gt;3,"Alerta","n/a"))))</f>
        <v>Saudável</v>
      </c>
      <c r="EO26" s="28" t="str">
        <f t="shared" si="23"/>
        <v>Ruim</v>
      </c>
      <c r="EP26" s="17" t="str">
        <f>IF(VLOOKUP(BM26,Fundamentus!A:U,12,FALSE)&lt;2,"Subvalorizada",IF(VLOOKUP(BM26,Fundamentus!A:U,12,FALSE)&lt;6,"Muita barata",IF(VLOOKUP(BM26,Fundamentus!A:U,12,FALSE)&lt;6,"Barata",IF(VLOOKUP(BM26,Fundamentus!A:U,12,FALSE)&lt;8,"Atrativa",IF(VLOOKUP(BM26,Fundamentus!A:U,12,FALSE)&gt;8,"Supervalorizada","n/a")))))</f>
        <v>Subvalorizada</v>
      </c>
      <c r="ER26" s="17" t="str">
        <f>IF(VLOOKUP(BM26,Fundamentus!A:U,17,FALSE)&lt;0.1,"Fraco retorno",IF(VLOOKUP(BM26,Fundamentus!A:U,17,FALSE)&gt;0.1,"Bom retorno","n/a"))</f>
        <v>Bom retorno</v>
      </c>
      <c r="ES26" s="17" t="str">
        <f>IF(VLOOKUP(BM26,Fundamentus!A:U,16,FALSE)&lt;0.1,"Ineficiente",IF(VLOOKUP(BM26,Fundamentus!A:U,16,FALSE)&gt;0.1,"Eficiente","n/a"))</f>
        <v>Ineficiente</v>
      </c>
      <c r="ET26" s="33" t="str">
        <f>IF(VLOOKUP(BM26,Fundamentus!A:U,16,FALSE)&lt;0.1,"Oper. Ineficiente",IF(VLOOKUP(BM26,Fundamentus!A:U,16,FALSE)&gt;0.1,"Oper.Eficiente","n/a"))</f>
        <v>Oper. Ineficiente</v>
      </c>
      <c r="EU26" s="34">
        <f>VLOOKUP(BM26,Fundamentus!A:U,14,FALSE)</f>
        <v>0</v>
      </c>
      <c r="EV26" s="17" t="str">
        <f>IF(VLOOKUP(BM26,Fundamentus!A:U,21,FALSE)&lt;0,"Negativo",IF(VLOOKUP(BM26,Fundamentus!A:U,21,FALSE)&lt;0.05,"Fraco",IF(VLOOKUP(BM26,Fundamentus!A:U,21,FALSE)&lt;0.1,"Bom",IF(VLOOKUP(BM26,Fundamentus!A:U,21,FALSE)&gt;0.1,"Muito bom","n/a"))))</f>
        <v>Muito bom</v>
      </c>
      <c r="EX26" s="29" t="str">
        <f>IF(VLOOKUP(BM26,Fundamentus!A:U,15,FALSE)&gt;1,"Bom",IF(VLOOKUP(BM26,Fundamentus!A:U,15,FALSE)&lt;1,"Ruim","n/a"))</f>
        <v>Ruim</v>
      </c>
      <c r="EY26" s="17" t="str">
        <f>IF(VLOOKUP(BM26,Fundamentus!A:U,20,FALSE)&lt;0.5,"Baixa",IF(VLOOKUP(BM26,Fundamentus!A:U,20,FALSE)&lt;1,"Moderada",IF(VLOOKUP(BM26,Fundamentus!A:U,20,FALSE)&lt;2,"Alerta",IF(VLOOKUP(BM26,Fundamentus!A:U,20,FALSE)&gt;2,"Alta","n/a"))))</f>
        <v>Baixa</v>
      </c>
    </row>
    <row r="27" spans="1:156" s="5" customFormat="1" ht="11.25" x14ac:dyDescent="0.2">
      <c r="A27" s="4">
        <v>5.4</v>
      </c>
      <c r="B27" s="4">
        <v>5.2</v>
      </c>
      <c r="C27" s="4">
        <v>5.43</v>
      </c>
      <c r="D27" s="4">
        <v>5.38</v>
      </c>
      <c r="E27" s="4">
        <v>5.09</v>
      </c>
      <c r="F27" s="4">
        <v>4.84</v>
      </c>
      <c r="G27" s="4">
        <v>4.75</v>
      </c>
      <c r="H27" s="4">
        <v>4.8899999999999997</v>
      </c>
      <c r="I27" s="4">
        <v>4.9400000000000004</v>
      </c>
      <c r="J27" s="4">
        <v>5.05</v>
      </c>
      <c r="K27" s="4">
        <v>5.17</v>
      </c>
      <c r="L27" s="4">
        <v>5.12</v>
      </c>
      <c r="M27" s="4">
        <v>4.96</v>
      </c>
      <c r="N27" s="4">
        <v>5.3</v>
      </c>
      <c r="O27" s="4">
        <v>5.5</v>
      </c>
      <c r="P27" s="4">
        <v>5.3</v>
      </c>
      <c r="Q27" s="4">
        <v>5.38</v>
      </c>
      <c r="R27" s="4">
        <v>5.77</v>
      </c>
      <c r="S27" s="4">
        <v>6.04</v>
      </c>
      <c r="T27" s="4">
        <v>6.13</v>
      </c>
      <c r="U27" s="4">
        <v>5.94</v>
      </c>
      <c r="V27" s="4">
        <v>6.21</v>
      </c>
      <c r="W27" s="4">
        <v>6.15</v>
      </c>
      <c r="X27" s="4">
        <v>6.1</v>
      </c>
      <c r="Y27" s="4">
        <v>6.56</v>
      </c>
      <c r="Z27" s="4">
        <v>6.59</v>
      </c>
      <c r="AA27" s="4">
        <v>6.38</v>
      </c>
      <c r="AB27" s="4">
        <v>6.67</v>
      </c>
      <c r="AC27" s="4">
        <v>7.06</v>
      </c>
      <c r="AD27" s="4">
        <v>7.28</v>
      </c>
      <c r="AE27" s="4">
        <v>6.38</v>
      </c>
      <c r="AF27" s="4">
        <v>6.28</v>
      </c>
      <c r="AG27" s="4">
        <v>6.24</v>
      </c>
      <c r="AH27" s="4">
        <v>5.4</v>
      </c>
      <c r="AI27" s="4">
        <v>5.62</v>
      </c>
      <c r="AJ27" s="4">
        <v>5.67</v>
      </c>
      <c r="AK27" s="4">
        <v>5.55</v>
      </c>
      <c r="AL27" s="4">
        <v>5.96</v>
      </c>
      <c r="AM27" s="4">
        <v>6.29</v>
      </c>
      <c r="AN27" s="4">
        <v>6.38</v>
      </c>
      <c r="AO27" s="4">
        <v>6.07</v>
      </c>
      <c r="AP27" s="4">
        <v>6.4</v>
      </c>
      <c r="AQ27" s="4">
        <v>6.12</v>
      </c>
      <c r="AR27" s="4">
        <v>5.75</v>
      </c>
      <c r="AS27" s="4">
        <v>5.7</v>
      </c>
      <c r="AT27" s="4">
        <v>5.67</v>
      </c>
      <c r="AU27" s="4">
        <v>5.5500000000000007</v>
      </c>
      <c r="AV27" s="4">
        <v>5.22</v>
      </c>
      <c r="AW27" s="4">
        <v>4.74</v>
      </c>
      <c r="AX27" s="4">
        <v>4.68</v>
      </c>
      <c r="AY27" s="12">
        <v>5.09</v>
      </c>
      <c r="AZ27" s="12">
        <v>5.29</v>
      </c>
      <c r="BA27" s="12">
        <v>5.46</v>
      </c>
      <c r="BB27" s="15">
        <v>5.34</v>
      </c>
      <c r="BC27" s="52">
        <v>5.68</v>
      </c>
      <c r="BD27" s="52">
        <v>5.56</v>
      </c>
      <c r="BE27" s="52">
        <v>5.84</v>
      </c>
      <c r="BF27" s="52">
        <v>6.03</v>
      </c>
      <c r="BG27" s="67">
        <v>6.2</v>
      </c>
      <c r="BH27" s="52">
        <v>6.25</v>
      </c>
      <c r="BI27" s="52">
        <v>6.46</v>
      </c>
      <c r="BJ27" s="52">
        <v>6.53</v>
      </c>
      <c r="BK27" s="52">
        <v>6.44</v>
      </c>
      <c r="BL27" s="52" cm="1">
        <f t="array" aca="1" ref="BL27" ca="1">_FV(EC27,"Preço")</f>
        <v>6.44</v>
      </c>
      <c r="BM27" s="69" t="s">
        <v>24</v>
      </c>
      <c r="BN27" s="36" cm="1">
        <f t="array" aca="1" ref="BN27" ca="1">_FV(EC27,"Média de volume",TRUE)</f>
        <v>8571750</v>
      </c>
      <c r="BO27" s="36">
        <v>280500</v>
      </c>
      <c r="BP27" s="36" cm="1">
        <f t="array" aca="1" ref="BP27" ca="1">_FV(EC27,"Volume")</f>
        <v>280500</v>
      </c>
      <c r="BQ27" s="24" cm="1">
        <f t="array" aca="1" ref="BQ27" ca="1">_FV(EC27,"Beta")</f>
        <v>0.82509999999999994</v>
      </c>
      <c r="BR27" s="71" cm="1">
        <f t="array" aca="1" ref="BR27" ca="1">_FV(EC27,"Variação (%)",TRUE)</f>
        <v>-1.3783E-2</v>
      </c>
      <c r="BT27" s="17" cm="1">
        <f t="array" aca="1" ref="BT27" ca="1">_FV(EC27,"Baixo")</f>
        <v>6.37</v>
      </c>
      <c r="BU27" s="17" cm="1">
        <f t="array" aca="1" ref="BU27" ca="1">_FV(EC27,"Alto")</f>
        <v>6.52</v>
      </c>
      <c r="BV27" s="24"/>
      <c r="BW27" s="63">
        <f ca="1">SQRT(22.5*(BL27/VLOOKUP(BM27,Fundamentus!A:U,3,FALSE))*(BL27/VLOOKUP(BM27,Fundamentus!A:U,4,FALSE)))</f>
        <v>9.1806183356982878</v>
      </c>
      <c r="BY27" s="62">
        <f t="shared" ca="1" si="24"/>
        <v>0</v>
      </c>
      <c r="BZ27" s="8"/>
      <c r="CA27" s="61">
        <f t="shared" si="25"/>
        <v>4.68</v>
      </c>
      <c r="CB27" s="61">
        <f t="shared" si="26"/>
        <v>7.28</v>
      </c>
      <c r="CC27" s="61">
        <f t="shared" si="27"/>
        <v>5.7526984126984111</v>
      </c>
      <c r="CD27" s="14"/>
      <c r="CE27" s="35">
        <f t="shared" si="1"/>
        <v>6.1041654288474332</v>
      </c>
      <c r="CF27" s="15">
        <f t="shared" si="28"/>
        <v>6.4519999999999982</v>
      </c>
      <c r="CG27" s="35">
        <f t="shared" si="2"/>
        <v>6.7998345711525632</v>
      </c>
      <c r="CI27" s="14"/>
      <c r="CJ27" s="17">
        <f t="shared" si="3"/>
        <v>2.4466666666666672</v>
      </c>
      <c r="CK27" s="17">
        <f t="shared" si="4"/>
        <v>3.5633333333333335</v>
      </c>
      <c r="CL27" s="17">
        <f t="shared" si="5"/>
        <v>5.0466666666666677</v>
      </c>
      <c r="CM27" s="38">
        <f t="shared" si="29"/>
        <v>6.163333333333334</v>
      </c>
      <c r="CN27" s="17">
        <f t="shared" si="6"/>
        <v>7.6466666666666683</v>
      </c>
      <c r="CO27" s="17">
        <f t="shared" si="7"/>
        <v>8.7633333333333354</v>
      </c>
      <c r="CP27" s="17">
        <f t="shared" si="8"/>
        <v>10.24666666666667</v>
      </c>
      <c r="CQ27" s="2" cm="1">
        <f t="array" aca="1" ref="CQ27" ca="1">MAX(_xlfn._xlws.FILTER(CJ27:CP27,CJ27:CP27&lt;BL27))</f>
        <v>6.163333333333334</v>
      </c>
      <c r="CR27" s="2" cm="1">
        <f t="array" aca="1" ref="CR27" ca="1">MIN(_xlfn._xlws.FILTER($CJ27:$CP27,$CJ27:$CP27&gt;BL27))</f>
        <v>7.6466666666666683</v>
      </c>
      <c r="CS27" s="16">
        <f t="shared" ca="1" si="63"/>
        <v>0.24067063277447276</v>
      </c>
      <c r="CT27" s="20">
        <f t="shared" ca="1" si="64"/>
        <v>-0.12033531638723638</v>
      </c>
      <c r="CU27" s="20">
        <f t="shared" ca="1" si="65"/>
        <v>-8.0223544258157586E-2</v>
      </c>
      <c r="CV27" s="20">
        <f t="shared" ca="1" si="66"/>
        <v>-4.8134126554894553E-2</v>
      </c>
      <c r="CW27" s="20">
        <f t="shared" ca="1" si="67"/>
        <v>-2.6741181419385862E-2</v>
      </c>
      <c r="CX27" s="20">
        <f t="shared" ca="1" si="68"/>
        <v>-1.415709604555722E-2</v>
      </c>
      <c r="CY27" s="20">
        <f t="shared" ca="1" si="69"/>
        <v>-7.2930494780143263E-3</v>
      </c>
      <c r="CZ27" s="20">
        <f t="shared" ca="1" si="70"/>
        <v>-3.7026251196072731E-3</v>
      </c>
      <c r="DA27" s="21">
        <f t="shared" ca="1" si="71"/>
        <v>3.7026251196072731E-3</v>
      </c>
      <c r="DB27" s="21">
        <f t="shared" ca="1" si="72"/>
        <v>7.2930494780143263E-3</v>
      </c>
      <c r="DC27" s="21">
        <f t="shared" ca="1" si="73"/>
        <v>1.415709604555722E-2</v>
      </c>
      <c r="DD27" s="21">
        <f t="shared" ca="1" si="74"/>
        <v>2.6741181419385862E-2</v>
      </c>
      <c r="DE27" s="21">
        <f t="shared" ca="1" si="75"/>
        <v>4.8134126554894553E-2</v>
      </c>
      <c r="DF27" s="21">
        <f t="shared" ca="1" si="76"/>
        <v>8.0223544258157586E-2</v>
      </c>
      <c r="DG27" s="21">
        <f t="shared" ca="1" si="77"/>
        <v>0.12033531638723638</v>
      </c>
      <c r="DI27" s="16" cm="1">
        <f t="array" aca="1" ref="DI27" ca="1">MAX(_xlfn._xlws.FILTER(CT27:DG27,CT27:DG27&lt;BR27))</f>
        <v>-1.415709604555722E-2</v>
      </c>
      <c r="DJ27" s="16" cm="1">
        <f t="array" aca="1" ref="DJ27" ca="1">MIN(_xlfn._xlws.FILTER(CT27:DG27,CT27:DG27&gt;BR27))</f>
        <v>-7.2930494780143263E-3</v>
      </c>
      <c r="DK27" s="2" cm="1">
        <f t="array" aca="1" ref="DK27" ca="1">_FV(EC27,"Fechamento anterior",TRUE)</f>
        <v>6.53</v>
      </c>
      <c r="DL27" s="28">
        <f t="shared" ca="1" si="15"/>
        <v>5.456751036702439E-2</v>
      </c>
      <c r="DM27" s="15">
        <f t="shared" ca="1" si="78"/>
        <v>6.4375541628225115</v>
      </c>
      <c r="DN27" s="15">
        <f t="shared" ca="1" si="79"/>
        <v>6.4823763869085669</v>
      </c>
      <c r="DO27" s="9"/>
      <c r="DP27" s="9"/>
      <c r="DQ27" s="9"/>
      <c r="DR27" s="89">
        <v>1.6999487967229894E-2</v>
      </c>
      <c r="DS27" s="89">
        <v>6.9806845137241639E-3</v>
      </c>
      <c r="DT27" s="89">
        <v>6.8640465675428941E-3</v>
      </c>
      <c r="DU27" s="89">
        <v>6.8640465675428941E-3</v>
      </c>
      <c r="DV27" s="89">
        <f t="shared" ca="1" si="18"/>
        <v>6.8640465675428941E-3</v>
      </c>
      <c r="DW27" s="72">
        <f t="shared" ca="1" si="19"/>
        <v>-3.4499158494324667E-2</v>
      </c>
      <c r="DX27" s="37"/>
      <c r="DY27" s="35">
        <f t="shared" si="39"/>
        <v>0.17391728557628255</v>
      </c>
      <c r="DZ27" s="56"/>
      <c r="EA27" s="56"/>
      <c r="EC27" s="5" t="e" vm="27">
        <v>#VALUE!</v>
      </c>
      <c r="EE27" s="10" cm="1">
        <f t="array" aca="1" ref="EE27" ca="1">_FV(EC27,"Ações em circulação",TRUE)</f>
        <v>1136271000</v>
      </c>
      <c r="EF27" s="18">
        <f>VLOOKUP(BM27,Fundamentus!A:U,5,FALSE)</f>
        <v>0.81799999999999995</v>
      </c>
      <c r="EG27" s="2">
        <f t="shared" ca="1" si="20"/>
        <v>8945703227.3838634</v>
      </c>
      <c r="EH27" s="17">
        <v>1192462240.210269</v>
      </c>
      <c r="EI27" s="17">
        <f t="shared" ca="1" si="21"/>
        <v>1192462240.210269</v>
      </c>
      <c r="EJ27" s="2"/>
      <c r="EK27" s="16">
        <f t="shared" ca="1" si="22"/>
        <v>0</v>
      </c>
      <c r="EL27" s="32" t="str">
        <f>IF(VLOOKUP(BM27,Fundamentus!A:U,3,FALSE)&lt;15,"Bom",IF(VLOOKUP(BM27,Fundamentus!A:U,3,FALSE)&gt;15,"Ruim","n/a"))</f>
        <v>Bom</v>
      </c>
      <c r="EM27" s="28" t="str">
        <f>IF(VLOOKUP(BM27,Fundamentus!A:U,4,FALSE)&lt;1,"Baixo",IF(VLOOKUP(BM27,Fundamentus!A:U,4,FALSE)&lt;1.5,"Moderado",IF(VLOOKUP(BM27,Fundamentus!A:U,4,FALSE)&gt;1.5,"Alto","n/a")))</f>
        <v>Alto</v>
      </c>
      <c r="EN27" s="17" t="str">
        <f>IF(VLOOKUP(BM27,Fundamentus!A:U,8,FALSE)&lt;0,"Risco elevado",IF(VLOOKUP(BM27,Fundamentus!A:U,8,FALSE)&lt;1,"Saudável",IF(VLOOKUP(BM27,Fundamentus!A:U,8,FALSE)&lt;3,"Estável",IF(VLOOKUP(BM27,Fundamentus!A:U,8,FALSE)&gt;3,"Alerta","n/a"))))</f>
        <v>Alerta</v>
      </c>
      <c r="EO27" s="28" t="str">
        <f t="shared" si="23"/>
        <v>Ruim</v>
      </c>
      <c r="EP27" s="17" t="str">
        <f>IF(VLOOKUP(BM27,Fundamentus!A:U,12,FALSE)&lt;2,"Subvalorizada",IF(VLOOKUP(BM27,Fundamentus!A:U,12,FALSE)&lt;6,"Muita barata",IF(VLOOKUP(BM27,Fundamentus!A:U,12,FALSE)&lt;6,"Barata",IF(VLOOKUP(BM27,Fundamentus!A:U,12,FALSE)&lt;8,"Atrativa",IF(VLOOKUP(BM27,Fundamentus!A:U,12,FALSE)&gt;8,"Supervalorizada","n/a")))))</f>
        <v>Muita barata</v>
      </c>
      <c r="EQ27" s="2"/>
      <c r="ER27" s="17" t="str">
        <f>IF(VLOOKUP(BM27,Fundamentus!A:U,17,FALSE)&lt;0.1,"Fraco retorno",IF(VLOOKUP(BM27,Fundamentus!A:U,17,FALSE)&gt;0.1,"Bom retorno","n/a"))</f>
        <v>Bom retorno</v>
      </c>
      <c r="ES27" s="17" t="str">
        <f>IF(VLOOKUP(BM27,Fundamentus!A:U,16,FALSE)&lt;0.1,"Ineficiente",IF(VLOOKUP(BM27,Fundamentus!A:U,16,FALSE)&gt;0.1,"Eficiente","n/a"))</f>
        <v>Eficiente</v>
      </c>
      <c r="ET27" s="33" t="str">
        <f>IF(VLOOKUP(BM27,Fundamentus!A:U,16,FALSE)&lt;0.1,"Oper. Ineficiente",IF(VLOOKUP(BM27,Fundamentus!A:U,16,FALSE)&gt;0.1,"Oper.Eficiente","n/a"))</f>
        <v>Oper.Eficiente</v>
      </c>
      <c r="EU27" s="34">
        <f>VLOOKUP(BM27,Fundamentus!A:U,14,FALSE)</f>
        <v>0.1333</v>
      </c>
      <c r="EV27" s="17" t="str">
        <f>IF(VLOOKUP(BM27,Fundamentus!A:U,21,FALSE)&lt;0,"Negativo",IF(VLOOKUP(BM27,Fundamentus!A:U,21,FALSE)&lt;0.05,"Fraco",IF(VLOOKUP(BM27,Fundamentus!A:U,21,FALSE)&lt;0.1,"Bom",IF(VLOOKUP(BM27,Fundamentus!A:U,21,FALSE)&gt;0.1,"Muito bom","n/a"))))</f>
        <v>Muito bom</v>
      </c>
      <c r="EX27" s="29" t="str">
        <f>IF(VLOOKUP(BM27,Fundamentus!A:U,15,FALSE)&gt;1,"Bom",IF(VLOOKUP(BM27,Fundamentus!A:U,15,FALSE)&lt;1,"Ruim","n/a"))</f>
        <v>Bom</v>
      </c>
      <c r="EY27" s="17" t="str">
        <f>IF(VLOOKUP(BM27,Fundamentus!A:U,20,FALSE)&lt;0.5,"Baixa",IF(VLOOKUP(BM27,Fundamentus!A:U,20,FALSE)&lt;1,"Moderada",IF(VLOOKUP(BM27,Fundamentus!A:U,20,FALSE)&lt;2,"Alerta",IF(VLOOKUP(BM27,Fundamentus!A:U,20,FALSE)&gt;2,"Alta","n/a"))))</f>
        <v>Moderada</v>
      </c>
    </row>
    <row r="28" spans="1:156" s="2" customFormat="1" ht="11.25" x14ac:dyDescent="0.2">
      <c r="A28" s="4">
        <v>12.3</v>
      </c>
      <c r="B28" s="4">
        <v>11.86</v>
      </c>
      <c r="C28" s="4">
        <v>13.07</v>
      </c>
      <c r="D28" s="4">
        <v>13.05</v>
      </c>
      <c r="E28" s="4">
        <v>13</v>
      </c>
      <c r="F28" s="4">
        <v>13</v>
      </c>
      <c r="G28" s="4">
        <v>13.28</v>
      </c>
      <c r="H28" s="4">
        <v>13.01</v>
      </c>
      <c r="I28" s="4">
        <v>13.6</v>
      </c>
      <c r="J28" s="4">
        <v>14.05</v>
      </c>
      <c r="K28" s="4">
        <v>14.76</v>
      </c>
      <c r="L28" s="4">
        <v>14.74</v>
      </c>
      <c r="M28" s="4">
        <v>14.37</v>
      </c>
      <c r="N28" s="4">
        <v>14.57</v>
      </c>
      <c r="O28" s="4">
        <v>15.65</v>
      </c>
      <c r="P28" s="4">
        <v>15.75</v>
      </c>
      <c r="Q28" s="4">
        <v>16.3</v>
      </c>
      <c r="R28" s="4">
        <v>15.94</v>
      </c>
      <c r="S28" s="4">
        <v>15.05</v>
      </c>
      <c r="T28" s="4">
        <v>14.97</v>
      </c>
      <c r="U28" s="4">
        <v>13.96</v>
      </c>
      <c r="V28" s="4">
        <v>13.73</v>
      </c>
      <c r="W28" s="4">
        <v>14.5</v>
      </c>
      <c r="X28" s="4">
        <v>14.31</v>
      </c>
      <c r="Y28" s="4">
        <v>14.7</v>
      </c>
      <c r="Z28" s="4">
        <v>15.19</v>
      </c>
      <c r="AA28" s="4">
        <v>14.67</v>
      </c>
      <c r="AB28" s="4">
        <v>14.57</v>
      </c>
      <c r="AC28" s="4">
        <v>14.25</v>
      </c>
      <c r="AD28" s="4">
        <v>14.31</v>
      </c>
      <c r="AE28" s="4">
        <v>14.5</v>
      </c>
      <c r="AF28" s="4">
        <v>15.1</v>
      </c>
      <c r="AG28" s="4">
        <v>14.62</v>
      </c>
      <c r="AH28" s="4">
        <v>13.5</v>
      </c>
      <c r="AI28" s="4">
        <v>13.2</v>
      </c>
      <c r="AJ28" s="4">
        <v>13.18</v>
      </c>
      <c r="AK28" s="4">
        <v>13.3</v>
      </c>
      <c r="AL28" s="4">
        <v>13.3</v>
      </c>
      <c r="AM28" s="4">
        <v>13.15</v>
      </c>
      <c r="AN28" s="4">
        <v>13.54</v>
      </c>
      <c r="AO28" s="4">
        <v>13.66</v>
      </c>
      <c r="AP28" s="4">
        <v>14.67</v>
      </c>
      <c r="AQ28" s="4">
        <v>14.36</v>
      </c>
      <c r="AR28" s="4">
        <v>14.5</v>
      </c>
      <c r="AS28" s="4">
        <v>14.45</v>
      </c>
      <c r="AT28" s="4">
        <v>15</v>
      </c>
      <c r="AU28" s="4">
        <v>16.829999999999998</v>
      </c>
      <c r="AV28" s="4">
        <v>17.13</v>
      </c>
      <c r="AW28" s="4">
        <v>17.39</v>
      </c>
      <c r="AX28" s="4">
        <v>16.86</v>
      </c>
      <c r="AY28" s="12">
        <v>17.3</v>
      </c>
      <c r="AZ28" s="12">
        <v>17.649999999999999</v>
      </c>
      <c r="BA28" s="12">
        <v>18.91</v>
      </c>
      <c r="BB28" s="15">
        <v>19.079999999999998</v>
      </c>
      <c r="BC28" s="52">
        <v>19.37</v>
      </c>
      <c r="BD28" s="52">
        <v>19.149999999999999</v>
      </c>
      <c r="BE28" s="52">
        <v>19.059999999999999</v>
      </c>
      <c r="BF28" s="52">
        <v>20.059999999999999</v>
      </c>
      <c r="BG28" s="67">
        <v>19.100000000000001</v>
      </c>
      <c r="BH28" s="52">
        <v>19.45</v>
      </c>
      <c r="BI28" s="52">
        <v>19.690000000000001</v>
      </c>
      <c r="BJ28" s="52">
        <v>22.08</v>
      </c>
      <c r="BK28" s="52">
        <v>21.89</v>
      </c>
      <c r="BL28" s="52" cm="1">
        <f t="array" aca="1" ref="BL28" ca="1">_FV(EC28,"Preço")</f>
        <v>21.89</v>
      </c>
      <c r="BM28" s="66" t="s">
        <v>25</v>
      </c>
      <c r="BN28" s="36" cm="1">
        <f t="array" aca="1" ref="BN28" ca="1">_FV(EC28,"Média de volume",TRUE)</f>
        <v>547290</v>
      </c>
      <c r="BO28" s="36">
        <v>348100</v>
      </c>
      <c r="BP28" s="36" cm="1">
        <f t="array" aca="1" ref="BP28" ca="1">_FV(EC28,"Volume")</f>
        <v>348100</v>
      </c>
      <c r="BQ28" s="24" cm="1">
        <f t="array" aca="1" ref="BQ28" ca="1">_FV(EC28,"Beta")</f>
        <v>1.2286999999999999</v>
      </c>
      <c r="BR28" s="71" cm="1">
        <f t="array" aca="1" ref="BR28" ca="1">_FV(EC28,"Variação (%)",TRUE)</f>
        <v>-2.7111E-2</v>
      </c>
      <c r="BT28" s="17" cm="1">
        <f t="array" aca="1" ref="BT28" ca="1">_FV(EC28,"Baixo")</f>
        <v>21.89</v>
      </c>
      <c r="BU28" s="17" cm="1">
        <f t="array" aca="1" ref="BU28" ca="1">_FV(EC28,"Alto")</f>
        <v>22.69</v>
      </c>
      <c r="BV28" s="24"/>
      <c r="BW28" s="63">
        <f ca="1">SQRT(22.5*(BL28/VLOOKUP(BM28,Fundamentus!A:U,3,FALSE))*(BL28/VLOOKUP(BM28,Fundamentus!A:U,4,FALSE)))</f>
        <v>24.537233956299325</v>
      </c>
      <c r="BY28" s="62">
        <f t="shared" ca="1" si="24"/>
        <v>0</v>
      </c>
      <c r="BZ28" s="8"/>
      <c r="CA28" s="61">
        <f t="shared" si="25"/>
        <v>11.86</v>
      </c>
      <c r="CB28" s="61">
        <f t="shared" si="26"/>
        <v>22.08</v>
      </c>
      <c r="CC28" s="61">
        <f t="shared" si="27"/>
        <v>15.42126984126984</v>
      </c>
      <c r="CD28" s="14"/>
      <c r="CE28" s="35">
        <f t="shared" si="1"/>
        <v>18.917524450019584</v>
      </c>
      <c r="CF28" s="15">
        <f t="shared" si="28"/>
        <v>21.26299999999992</v>
      </c>
      <c r="CG28" s="35">
        <f t="shared" si="2"/>
        <v>23.608475549980255</v>
      </c>
      <c r="CI28" s="14"/>
      <c r="CJ28" s="17">
        <f t="shared" si="3"/>
        <v>5.0466666666666669</v>
      </c>
      <c r="CK28" s="17">
        <f t="shared" si="4"/>
        <v>8.4533333333333331</v>
      </c>
      <c r="CL28" s="17">
        <f t="shared" si="5"/>
        <v>15.266666666666666</v>
      </c>
      <c r="CM28" s="38">
        <f t="shared" si="29"/>
        <v>18.673333333333332</v>
      </c>
      <c r="CN28" s="17">
        <f t="shared" si="6"/>
        <v>25.486666666666665</v>
      </c>
      <c r="CO28" s="17">
        <f t="shared" si="7"/>
        <v>28.893333333333331</v>
      </c>
      <c r="CP28" s="17">
        <f t="shared" si="8"/>
        <v>35.706666666666663</v>
      </c>
      <c r="CQ28" s="2" cm="1">
        <f t="array" aca="1" ref="CQ28" ca="1">MAX(_xlfn._xlws.FILTER(CJ28:CP28,CJ28:CP28&lt;BL28))</f>
        <v>18.673333333333332</v>
      </c>
      <c r="CR28" s="2" cm="1">
        <f t="array" aca="1" ref="CR28" ca="1">MIN(_xlfn._xlws.FILTER($CJ28:$CP28,$CJ28:$CP28&gt;BL28))</f>
        <v>25.486666666666665</v>
      </c>
      <c r="CS28" s="16">
        <f t="shared" ca="1" si="63"/>
        <v>0.3648696893966441</v>
      </c>
      <c r="CT28" s="20">
        <f t="shared" ca="1" si="64"/>
        <v>-0.18243484469832205</v>
      </c>
      <c r="CU28" s="20">
        <f t="shared" ca="1" si="65"/>
        <v>-0.12162322979888136</v>
      </c>
      <c r="CV28" s="20">
        <f t="shared" ca="1" si="66"/>
        <v>-7.2973937879328821E-2</v>
      </c>
      <c r="CW28" s="20">
        <f t="shared" ca="1" si="67"/>
        <v>-4.0541076599627121E-2</v>
      </c>
      <c r="CX28" s="20">
        <f t="shared" ca="1" si="68"/>
        <v>-2.1462922905684946E-2</v>
      </c>
      <c r="CY28" s="20">
        <f t="shared" ca="1" si="69"/>
        <v>-1.105665725444376E-2</v>
      </c>
      <c r="CZ28" s="20">
        <f t="shared" ca="1" si="70"/>
        <v>-5.6133798368714479E-3</v>
      </c>
      <c r="DA28" s="21">
        <f t="shared" ca="1" si="71"/>
        <v>5.6133798368714479E-3</v>
      </c>
      <c r="DB28" s="21">
        <f t="shared" ca="1" si="72"/>
        <v>1.105665725444376E-2</v>
      </c>
      <c r="DC28" s="21">
        <f t="shared" ca="1" si="73"/>
        <v>2.1462922905684946E-2</v>
      </c>
      <c r="DD28" s="21">
        <f t="shared" ca="1" si="74"/>
        <v>4.0541076599627121E-2</v>
      </c>
      <c r="DE28" s="21">
        <f t="shared" ca="1" si="75"/>
        <v>7.2973937879328821E-2</v>
      </c>
      <c r="DF28" s="21">
        <f t="shared" ca="1" si="76"/>
        <v>0.12162322979888136</v>
      </c>
      <c r="DG28" s="21">
        <f t="shared" ca="1" si="77"/>
        <v>0.18243484469832205</v>
      </c>
      <c r="DI28" s="16" cm="1">
        <f t="array" aca="1" ref="DI28" ca="1">MAX(_xlfn._xlws.FILTER(CT28:DG28,CT28:DG28&lt;BR28))</f>
        <v>-4.0541076599627121E-2</v>
      </c>
      <c r="DJ28" s="16" cm="1">
        <f t="array" aca="1" ref="DJ28" ca="1">MIN(_xlfn._xlws.FILTER(CT28:DG28,CT28:DG28&gt;BR28))</f>
        <v>-2.1462922905684946E-2</v>
      </c>
      <c r="DK28" s="2" cm="1">
        <f t="array" aca="1" ref="DK28" ca="1">_FV(EC28,"Fechamento anterior",TRUE)</f>
        <v>22.5</v>
      </c>
      <c r="DL28" s="28">
        <f t="shared" ca="1" si="15"/>
        <v>0.70394471624266242</v>
      </c>
      <c r="DM28" s="15">
        <f t="shared" ca="1" si="78"/>
        <v>21.587825776508389</v>
      </c>
      <c r="DN28" s="15">
        <f t="shared" ca="1" si="79"/>
        <v>22.017084234622089</v>
      </c>
      <c r="DO28" s="9"/>
      <c r="DP28" s="9"/>
      <c r="DQ28" s="9"/>
      <c r="DR28" s="89">
        <v>9.2901423207893078E-3</v>
      </c>
      <c r="DS28" s="89">
        <v>1.5823603713012706E-2</v>
      </c>
      <c r="DT28" s="89">
        <v>1.0406265651241186E-2</v>
      </c>
      <c r="DU28" s="89">
        <v>1.9078153693942175E-2</v>
      </c>
      <c r="DV28" s="89">
        <f t="shared" ca="1" si="18"/>
        <v>1.9078153693942175E-2</v>
      </c>
      <c r="DW28" s="72">
        <f t="shared" ca="1" si="19"/>
        <v>0.26732318740450628</v>
      </c>
      <c r="DX28" s="37"/>
      <c r="DY28" s="35">
        <f t="shared" si="39"/>
        <v>1.1727377749901671</v>
      </c>
      <c r="DZ28" s="56"/>
      <c r="EA28" s="56"/>
      <c r="EC28" s="2" t="e" vm="28">
        <v>#VALUE!</v>
      </c>
      <c r="EE28" s="10" cm="1">
        <f t="array" aca="1" ref="EE28" ca="1">_FV(EC28,"Ações em circulação",TRUE)</f>
        <v>85608390</v>
      </c>
      <c r="EF28" s="18">
        <f>VLOOKUP(BM28,Fundamentus!A:U,5,FALSE)</f>
        <v>1.0660000000000001</v>
      </c>
      <c r="EG28" s="2">
        <f t="shared" ca="1" si="20"/>
        <v>1757943393.1519699</v>
      </c>
      <c r="EH28" s="17">
        <v>148546216.72134146</v>
      </c>
      <c r="EI28" s="17">
        <f t="shared" ca="1" si="21"/>
        <v>148546216.72134146</v>
      </c>
      <c r="EK28" s="16">
        <f t="shared" ca="1" si="22"/>
        <v>0</v>
      </c>
      <c r="EL28" s="32" t="str">
        <f>IF(VLOOKUP(BM28,Fundamentus!A:U,3,FALSE)&lt;15,"Bom",IF(VLOOKUP(BM28,Fundamentus!A:U,3,FALSE)&gt;15,"Ruim","n/a"))</f>
        <v>Bom</v>
      </c>
      <c r="EM28" s="28" t="str">
        <f>IF(VLOOKUP(BM28,Fundamentus!A:U,4,FALSE)&lt;1,"Baixo",IF(VLOOKUP(BM28,Fundamentus!A:U,4,FALSE)&lt;1.5,"Moderado",IF(VLOOKUP(BM28,Fundamentus!A:U,4,FALSE)&gt;1.5,"Alto","n/a")))</f>
        <v>Moderado</v>
      </c>
      <c r="EN28" s="17" t="str">
        <f>IF(VLOOKUP(BM28,Fundamentus!A:U,8,FALSE)&lt;0,"Risco elevado",IF(VLOOKUP(BM28,Fundamentus!A:U,8,FALSE)&lt;1,"Saudável",IF(VLOOKUP(BM28,Fundamentus!A:U,8,FALSE)&lt;3,"Estável",IF(VLOOKUP(BM28,Fundamentus!A:U,8,FALSE)&gt;3,"Alerta","n/a"))))</f>
        <v>Estável</v>
      </c>
      <c r="EO28" s="28" t="str">
        <f t="shared" si="23"/>
        <v>Bom</v>
      </c>
      <c r="EP28" s="17" t="str">
        <f>IF(VLOOKUP(BM28,Fundamentus!A:U,12,FALSE)&lt;2,"Subvalorizada",IF(VLOOKUP(BM28,Fundamentus!A:U,12,FALSE)&lt;6,"Muita barata",IF(VLOOKUP(BM28,Fundamentus!A:U,12,FALSE)&lt;6,"Barata",IF(VLOOKUP(BM28,Fundamentus!A:U,12,FALSE)&lt;8,"Atrativa",IF(VLOOKUP(BM28,Fundamentus!A:U,12,FALSE)&gt;8,"Supervalorizada","n/a")))))</f>
        <v>Muita barata</v>
      </c>
      <c r="ER28" s="17" t="str">
        <f>IF(VLOOKUP(BM28,Fundamentus!A:U,17,FALSE)&lt;0.1,"Fraco retorno",IF(VLOOKUP(BM28,Fundamentus!A:U,17,FALSE)&gt;0.1,"Bom retorno","n/a"))</f>
        <v>Bom retorno</v>
      </c>
      <c r="ES28" s="17" t="str">
        <f>IF(VLOOKUP(BM28,Fundamentus!A:U,16,FALSE)&lt;0.1,"Ineficiente",IF(VLOOKUP(BM28,Fundamentus!A:U,16,FALSE)&gt;0.1,"Eficiente","n/a"))</f>
        <v>Eficiente</v>
      </c>
      <c r="ET28" s="33" t="str">
        <f>IF(VLOOKUP(BM28,Fundamentus!A:U,16,FALSE)&lt;0.1,"Oper. Ineficiente",IF(VLOOKUP(BM28,Fundamentus!A:U,16,FALSE)&gt;0.1,"Oper.Eficiente","n/a"))</f>
        <v>Oper.Eficiente</v>
      </c>
      <c r="EU28" s="34">
        <f>VLOOKUP(BM28,Fundamentus!A:U,14,FALSE)</f>
        <v>8.4500000000000006E-2</v>
      </c>
      <c r="EV28" s="17" t="str">
        <f>IF(VLOOKUP(BM28,Fundamentus!A:U,21,FALSE)&lt;0,"Negativo",IF(VLOOKUP(BM28,Fundamentus!A:U,21,FALSE)&lt;0.05,"Fraco",IF(VLOOKUP(BM28,Fundamentus!A:U,21,FALSE)&lt;0.1,"Bom",IF(VLOOKUP(BM28,Fundamentus!A:U,21,FALSE)&gt;0.1,"Muito bom","n/a"))))</f>
        <v>Muito bom</v>
      </c>
      <c r="EX28" s="29" t="str">
        <f>IF(VLOOKUP(BM28,Fundamentus!A:U,15,FALSE)&gt;1,"Bom",IF(VLOOKUP(BM28,Fundamentus!A:U,15,FALSE)&lt;1,"Ruim","n/a"))</f>
        <v>Bom</v>
      </c>
      <c r="EY28" s="17" t="str">
        <f>IF(VLOOKUP(BM28,Fundamentus!A:U,20,FALSE)&lt;0.5,"Baixa",IF(VLOOKUP(BM28,Fundamentus!A:U,20,FALSE)&lt;1,"Moderada",IF(VLOOKUP(BM28,Fundamentus!A:U,20,FALSE)&lt;2,"Alerta",IF(VLOOKUP(BM28,Fundamentus!A:U,20,FALSE)&gt;2,"Alta","n/a"))))</f>
        <v>Baixa</v>
      </c>
    </row>
    <row r="29" spans="1:156" s="2" customFormat="1" ht="11.25" x14ac:dyDescent="0.2">
      <c r="A29" s="4">
        <v>48.25</v>
      </c>
      <c r="B29" s="4">
        <v>44.8</v>
      </c>
      <c r="C29" s="4">
        <v>45</v>
      </c>
      <c r="D29" s="4">
        <v>43.86</v>
      </c>
      <c r="E29" s="4">
        <v>45.6</v>
      </c>
      <c r="F29" s="4">
        <v>44.3</v>
      </c>
      <c r="G29" s="4">
        <v>40.369999999999997</v>
      </c>
      <c r="H29" s="4">
        <v>41</v>
      </c>
      <c r="I29" s="4">
        <v>44.5</v>
      </c>
      <c r="J29" s="4">
        <v>44.62</v>
      </c>
      <c r="K29" s="4">
        <v>44.8</v>
      </c>
      <c r="L29" s="4">
        <v>43.33</v>
      </c>
      <c r="M29" s="4">
        <v>43.09</v>
      </c>
      <c r="N29" s="4">
        <v>43.5</v>
      </c>
      <c r="O29" s="4">
        <v>42.39</v>
      </c>
      <c r="P29" s="4">
        <v>42</v>
      </c>
      <c r="Q29" s="4">
        <v>44.36</v>
      </c>
      <c r="R29" s="4">
        <v>44.88</v>
      </c>
      <c r="S29" s="4">
        <v>42.93</v>
      </c>
      <c r="T29" s="4">
        <v>40.69</v>
      </c>
      <c r="U29" s="4">
        <v>40.15</v>
      </c>
      <c r="V29" s="4">
        <v>39.36</v>
      </c>
      <c r="W29" s="4">
        <v>37.32</v>
      </c>
      <c r="X29" s="4">
        <v>36</v>
      </c>
      <c r="Y29" s="4">
        <v>36.6</v>
      </c>
      <c r="Z29" s="4">
        <v>35.01</v>
      </c>
      <c r="AA29" s="4">
        <v>36</v>
      </c>
      <c r="AB29" s="4">
        <v>33</v>
      </c>
      <c r="AC29" s="4">
        <v>33.549999999999997</v>
      </c>
      <c r="AD29" s="4">
        <v>34.18</v>
      </c>
      <c r="AE29" s="4">
        <v>37</v>
      </c>
      <c r="AF29" s="4">
        <v>35.68</v>
      </c>
      <c r="AG29" s="4">
        <v>33.28</v>
      </c>
      <c r="AH29" s="4">
        <v>36.880000000000003</v>
      </c>
      <c r="AI29" s="4">
        <v>38.19</v>
      </c>
      <c r="AJ29" s="4">
        <v>38.99</v>
      </c>
      <c r="AK29" s="4">
        <v>38.19</v>
      </c>
      <c r="AL29" s="4">
        <v>37.03</v>
      </c>
      <c r="AM29" s="4">
        <v>37.9</v>
      </c>
      <c r="AN29" s="4">
        <v>41.79</v>
      </c>
      <c r="AO29" s="4">
        <v>41.89</v>
      </c>
      <c r="AP29" s="4">
        <v>41.95</v>
      </c>
      <c r="AQ29" s="4">
        <v>42.73</v>
      </c>
      <c r="AR29" s="4">
        <v>43.8</v>
      </c>
      <c r="AS29" s="4">
        <v>43.78</v>
      </c>
      <c r="AT29" s="4">
        <v>43.42</v>
      </c>
      <c r="AU29" s="4">
        <v>40.994999999999997</v>
      </c>
      <c r="AV29" s="4">
        <v>43.39</v>
      </c>
      <c r="AW29" s="4">
        <v>43.47</v>
      </c>
      <c r="AX29" s="4">
        <v>39.659999999999997</v>
      </c>
      <c r="AY29" s="12">
        <v>39.22</v>
      </c>
      <c r="AZ29" s="12">
        <v>40.97</v>
      </c>
      <c r="BA29" s="12">
        <v>43.8</v>
      </c>
      <c r="BB29" s="15">
        <v>41.32</v>
      </c>
      <c r="BC29" s="52">
        <v>42.19</v>
      </c>
      <c r="BD29" s="52">
        <v>41.6</v>
      </c>
      <c r="BE29" s="52">
        <v>43.96</v>
      </c>
      <c r="BF29" s="52">
        <v>40.89</v>
      </c>
      <c r="BG29" s="67">
        <v>42.15</v>
      </c>
      <c r="BH29" s="52">
        <v>43.2</v>
      </c>
      <c r="BI29" s="52">
        <v>42.23</v>
      </c>
      <c r="BJ29" s="52">
        <v>43.87</v>
      </c>
      <c r="BK29" s="52">
        <v>43.16</v>
      </c>
      <c r="BL29" s="52" cm="1">
        <f t="array" aca="1" ref="BL29" ca="1">_FV(EC29,"Preço")</f>
        <v>43.16</v>
      </c>
      <c r="BM29" s="69" t="s">
        <v>26</v>
      </c>
      <c r="BN29" s="36" cm="1">
        <f t="array" aca="1" ref="BN29" ca="1">_FV(EC29,"Média de volume",TRUE)</f>
        <v>3580</v>
      </c>
      <c r="BO29" s="36">
        <v>500</v>
      </c>
      <c r="BP29" s="36" cm="1">
        <f t="array" aca="1" ref="BP29" ca="1">_FV(EC29,"Volume")</f>
        <v>500</v>
      </c>
      <c r="BQ29" s="24" cm="1">
        <f t="array" aca="1" ref="BQ29" ca="1">_FV(EC29,"Beta")</f>
        <v>0.42920000000000003</v>
      </c>
      <c r="BR29" s="71" cm="1">
        <f t="array" aca="1" ref="BR29" ca="1">_FV(EC29,"Variação (%)",TRUE)</f>
        <v>-6.4459999999999995E-3</v>
      </c>
      <c r="BT29" s="17" cm="1">
        <f t="array" aca="1" ref="BT29" ca="1">_FV(EC29,"Baixo")</f>
        <v>42.72</v>
      </c>
      <c r="BU29" s="17" cm="1">
        <f t="array" aca="1" ref="BU29" ca="1">_FV(EC29,"Alto")</f>
        <v>43.39</v>
      </c>
      <c r="BV29" s="24"/>
      <c r="BW29" s="63">
        <f ca="1">SQRT(22.5*(BL29/VLOOKUP(BM29,Fundamentus!A:U,3,FALSE))*(BL29/VLOOKUP(BM29,Fundamentus!A:U,4,FALSE)))</f>
        <v>72.093720005876477</v>
      </c>
      <c r="BY29" s="62">
        <f t="shared" ca="1" si="24"/>
        <v>0</v>
      </c>
      <c r="BZ29" s="8"/>
      <c r="CA29" s="61">
        <f t="shared" si="25"/>
        <v>33</v>
      </c>
      <c r="CB29" s="61">
        <f t="shared" si="26"/>
        <v>48.25</v>
      </c>
      <c r="CC29" s="61">
        <f t="shared" si="27"/>
        <v>41.016111111111108</v>
      </c>
      <c r="CD29" s="14"/>
      <c r="CE29" s="35">
        <f t="shared" si="1"/>
        <v>41.2677504350997</v>
      </c>
      <c r="CF29" s="15">
        <f t="shared" si="28"/>
        <v>43.190999999999917</v>
      </c>
      <c r="CG29" s="35">
        <f t="shared" si="2"/>
        <v>45.114249564900135</v>
      </c>
      <c r="CI29" s="14"/>
      <c r="CJ29" s="17">
        <f t="shared" si="3"/>
        <v>19.913333333333341</v>
      </c>
      <c r="CK29" s="17">
        <f t="shared" si="4"/>
        <v>26.456666666666671</v>
      </c>
      <c r="CL29" s="17">
        <f t="shared" si="5"/>
        <v>35.163333333333341</v>
      </c>
      <c r="CM29" s="38">
        <f t="shared" si="29"/>
        <v>41.706666666666671</v>
      </c>
      <c r="CN29" s="17">
        <f t="shared" si="6"/>
        <v>50.413333333333341</v>
      </c>
      <c r="CO29" s="17">
        <f t="shared" si="7"/>
        <v>56.956666666666671</v>
      </c>
      <c r="CP29" s="17">
        <f t="shared" si="8"/>
        <v>65.663333333333341</v>
      </c>
      <c r="CQ29" s="2" cm="1">
        <f t="array" aca="1" ref="CQ29" ca="1">MAX(_xlfn._xlws.FILTER(CJ29:CP29,CJ29:CP29&lt;BL29))</f>
        <v>41.706666666666671</v>
      </c>
      <c r="CR29" s="2" cm="1">
        <f t="array" aca="1" ref="CR29" ca="1">MIN(_xlfn._xlws.FILTER($CJ29:$CP29,$CJ29:$CP29&gt;BL29))</f>
        <v>50.413333333333341</v>
      </c>
      <c r="CS29" s="16">
        <f t="shared" ca="1" si="63"/>
        <v>0.20875959079283901</v>
      </c>
      <c r="CT29" s="20">
        <f t="shared" ca="1" si="64"/>
        <v>-0.10437979539641951</v>
      </c>
      <c r="CU29" s="20">
        <f t="shared" ca="1" si="65"/>
        <v>-6.9586530264279675E-2</v>
      </c>
      <c r="CV29" s="20">
        <f t="shared" ca="1" si="66"/>
        <v>-4.1751918158567804E-2</v>
      </c>
      <c r="CW29" s="20">
        <f t="shared" ca="1" si="67"/>
        <v>-2.3195510088093223E-2</v>
      </c>
      <c r="CX29" s="20">
        <f t="shared" ca="1" si="68"/>
        <v>-1.2279975928990531E-2</v>
      </c>
      <c r="CY29" s="20">
        <f t="shared" ca="1" si="69"/>
        <v>-6.3260482058436068E-3</v>
      </c>
      <c r="CZ29" s="20">
        <f t="shared" ca="1" si="70"/>
        <v>-3.2116860121975234E-3</v>
      </c>
      <c r="DA29" s="21">
        <f t="shared" ca="1" si="71"/>
        <v>3.2116860121975234E-3</v>
      </c>
      <c r="DB29" s="21">
        <f t="shared" ca="1" si="72"/>
        <v>6.3260482058436068E-3</v>
      </c>
      <c r="DC29" s="21">
        <f t="shared" ca="1" si="73"/>
        <v>1.2279975928990531E-2</v>
      </c>
      <c r="DD29" s="21">
        <f t="shared" ca="1" si="74"/>
        <v>2.3195510088093223E-2</v>
      </c>
      <c r="DE29" s="21">
        <f t="shared" ca="1" si="75"/>
        <v>4.1751918158567804E-2</v>
      </c>
      <c r="DF29" s="21">
        <f t="shared" ca="1" si="76"/>
        <v>6.9586530264279675E-2</v>
      </c>
      <c r="DG29" s="21">
        <f t="shared" ca="1" si="77"/>
        <v>0.10437979539641951</v>
      </c>
      <c r="DI29" s="16" cm="1">
        <f t="array" aca="1" ref="DI29" ca="1">MAX(_xlfn._xlws.FILTER(CT29:DG29,CT29:DG29&lt;BR29))</f>
        <v>-1.2279975928990531E-2</v>
      </c>
      <c r="DJ29" s="16" cm="1">
        <f t="array" aca="1" ref="DJ29" ca="1">MIN(_xlfn._xlws.FILTER(CT29:DG29,CT29:DG29&gt;BR29))</f>
        <v>-6.3260482058436068E-3</v>
      </c>
      <c r="DK29" s="2" cm="1">
        <f t="array" aca="1" ref="DK29" ca="1">_FV(EC29,"Fechamento anterior",TRUE)</f>
        <v>43.44</v>
      </c>
      <c r="DL29" s="28">
        <f t="shared" ca="1" si="15"/>
        <v>0.97990839135988883</v>
      </c>
      <c r="DM29" s="15">
        <f t="shared" ca="1" si="78"/>
        <v>42.906557845644649</v>
      </c>
      <c r="DN29" s="15">
        <f t="shared" ca="1" si="79"/>
        <v>43.165196465938152</v>
      </c>
      <c r="DO29" s="9"/>
      <c r="DP29" s="9"/>
      <c r="DQ29" s="9"/>
      <c r="DR29" s="89">
        <v>1.1864818867007049E-2</v>
      </c>
      <c r="DS29" s="89">
        <v>5.6393855612084246E-3</v>
      </c>
      <c r="DT29" s="89">
        <v>6.4233720243950469E-3</v>
      </c>
      <c r="DU29" s="89">
        <v>5.9539277231469238E-3</v>
      </c>
      <c r="DV29" s="89">
        <f t="shared" ca="1" si="18"/>
        <v>5.9539277231469238E-3</v>
      </c>
      <c r="DW29" s="72">
        <f t="shared" ca="1" si="19"/>
        <v>-1.6118552977043829E-2</v>
      </c>
      <c r="DX29" s="37"/>
      <c r="DY29" s="35">
        <f t="shared" si="39"/>
        <v>0.96162478245010996</v>
      </c>
      <c r="DZ29" s="56"/>
      <c r="EA29" s="56"/>
      <c r="EC29" s="2" t="e" vm="29">
        <v>#VALUE!</v>
      </c>
      <c r="EE29" s="10" cm="1">
        <f t="array" aca="1" ref="EE29" ca="1">_FV(EC29,"Ações em circulação",TRUE)</f>
        <v>9137260</v>
      </c>
      <c r="EF29" s="18">
        <f>VLOOKUP(BM29,Fundamentus!A:U,5,FALSE)</f>
        <v>0.71199999999999997</v>
      </c>
      <c r="EG29" s="2">
        <f t="shared" ca="1" si="20"/>
        <v>553882221.34831452</v>
      </c>
      <c r="EH29" s="17">
        <v>39104084.827191003</v>
      </c>
      <c r="EI29" s="17">
        <f t="shared" ca="1" si="21"/>
        <v>39104084.827191003</v>
      </c>
      <c r="EK29" s="16">
        <f t="shared" ca="1" si="22"/>
        <v>0</v>
      </c>
      <c r="EL29" s="32" t="str">
        <f>IF(VLOOKUP(BM29,Fundamentus!A:U,3,FALSE)&lt;15,"Bom",IF(VLOOKUP(BM29,Fundamentus!A:U,3,FALSE)&gt;15,"Ruim","n/a"))</f>
        <v>Bom</v>
      </c>
      <c r="EM29" s="28" t="str">
        <f>IF(VLOOKUP(BM29,Fundamentus!A:U,4,FALSE)&lt;1,"Baixo",IF(VLOOKUP(BM29,Fundamentus!A:U,4,FALSE)&lt;1.5,"Moderado",IF(VLOOKUP(BM29,Fundamentus!A:U,4,FALSE)&gt;1.5,"Alto","n/a")))</f>
        <v>Baixo</v>
      </c>
      <c r="EN29" s="17" t="str">
        <f>IF(VLOOKUP(BM29,Fundamentus!A:U,8,FALSE)&lt;0,"Risco elevado",IF(VLOOKUP(BM29,Fundamentus!A:U,8,FALSE)&lt;1,"Saudável",IF(VLOOKUP(BM29,Fundamentus!A:U,8,FALSE)&lt;3,"Estável",IF(VLOOKUP(BM29,Fundamentus!A:U,8,FALSE)&gt;3,"Alerta","n/a"))))</f>
        <v>Estável</v>
      </c>
      <c r="EO29" s="28" t="str">
        <f t="shared" si="23"/>
        <v>Ruim</v>
      </c>
      <c r="EP29" s="17" t="str">
        <f>IF(VLOOKUP(BM29,Fundamentus!A:U,12,FALSE)&lt;2,"Subvalorizada",IF(VLOOKUP(BM29,Fundamentus!A:U,12,FALSE)&lt;6,"Muita barata",IF(VLOOKUP(BM29,Fundamentus!A:U,12,FALSE)&lt;6,"Barata",IF(VLOOKUP(BM29,Fundamentus!A:U,12,FALSE)&lt;8,"Atrativa",IF(VLOOKUP(BM29,Fundamentus!A:U,12,FALSE)&gt;8,"Supervalorizada","n/a")))))</f>
        <v>Muita barata</v>
      </c>
      <c r="ER29" s="17" t="str">
        <f>IF(VLOOKUP(BM29,Fundamentus!A:U,17,FALSE)&lt;0.1,"Fraco retorno",IF(VLOOKUP(BM29,Fundamentus!A:U,17,FALSE)&gt;0.1,"Bom retorno","n/a"))</f>
        <v>Fraco retorno</v>
      </c>
      <c r="ES29" s="17" t="str">
        <f>IF(VLOOKUP(BM29,Fundamentus!A:U,16,FALSE)&lt;0.1,"Ineficiente",IF(VLOOKUP(BM29,Fundamentus!A:U,16,FALSE)&gt;0.1,"Eficiente","n/a"))</f>
        <v>Eficiente</v>
      </c>
      <c r="ET29" s="33" t="str">
        <f>IF(VLOOKUP(BM29,Fundamentus!A:U,16,FALSE)&lt;0.1,"Oper. Ineficiente",IF(VLOOKUP(BM29,Fundamentus!A:U,16,FALSE)&gt;0.1,"Oper.Eficiente","n/a"))</f>
        <v>Oper.Eficiente</v>
      </c>
      <c r="EU29" s="34">
        <f>VLOOKUP(BM29,Fundamentus!A:U,14,FALSE)</f>
        <v>7.0599999999999996E-2</v>
      </c>
      <c r="EV29" s="17" t="str">
        <f>IF(VLOOKUP(BM29,Fundamentus!A:U,21,FALSE)&lt;0,"Negativo",IF(VLOOKUP(BM29,Fundamentus!A:U,21,FALSE)&lt;0.05,"Fraco",IF(VLOOKUP(BM29,Fundamentus!A:U,21,FALSE)&lt;0.1,"Bom",IF(VLOOKUP(BM29,Fundamentus!A:U,21,FALSE)&gt;0.1,"Muito bom","n/a"))))</f>
        <v>Fraco</v>
      </c>
      <c r="EX29" s="29" t="str">
        <f>IF(VLOOKUP(BM29,Fundamentus!A:U,15,FALSE)&gt;1,"Bom",IF(VLOOKUP(BM29,Fundamentus!A:U,15,FALSE)&lt;1,"Ruim","n/a"))</f>
        <v>Bom</v>
      </c>
      <c r="EY29" s="17" t="str">
        <f>IF(VLOOKUP(BM29,Fundamentus!A:U,20,FALSE)&lt;0.5,"Baixa",IF(VLOOKUP(BM29,Fundamentus!A:U,20,FALSE)&lt;1,"Moderada",IF(VLOOKUP(BM29,Fundamentus!A:U,20,FALSE)&lt;2,"Alerta",IF(VLOOKUP(BM29,Fundamentus!A:U,20,FALSE)&gt;2,"Alta","n/a"))))</f>
        <v>Baixa</v>
      </c>
    </row>
    <row r="30" spans="1:156" s="2" customFormat="1" ht="11.25" x14ac:dyDescent="0.2">
      <c r="A30" s="4">
        <v>10.6</v>
      </c>
      <c r="B30" s="4">
        <v>10.1</v>
      </c>
      <c r="C30" s="4">
        <v>10.02</v>
      </c>
      <c r="D30" s="4">
        <v>10.220000000000001</v>
      </c>
      <c r="E30" s="4">
        <v>10.75</v>
      </c>
      <c r="F30" s="4">
        <v>10.55</v>
      </c>
      <c r="G30" s="4">
        <v>10.45</v>
      </c>
      <c r="H30" s="4">
        <v>10.64</v>
      </c>
      <c r="I30" s="4">
        <v>10.52</v>
      </c>
      <c r="J30" s="4">
        <v>10.53</v>
      </c>
      <c r="K30" s="4">
        <v>11.26</v>
      </c>
      <c r="L30" s="4">
        <v>11.15</v>
      </c>
      <c r="M30" s="4">
        <v>11.32</v>
      </c>
      <c r="N30" s="4">
        <v>11.33</v>
      </c>
      <c r="O30" s="4">
        <v>11.95</v>
      </c>
      <c r="P30" s="4">
        <v>12.3</v>
      </c>
      <c r="Q30" s="4">
        <v>12.3</v>
      </c>
      <c r="R30" s="4">
        <v>12.68</v>
      </c>
      <c r="S30" s="4">
        <v>12.4</v>
      </c>
      <c r="T30" s="4">
        <v>12.23</v>
      </c>
      <c r="U30" s="4">
        <v>11.85</v>
      </c>
      <c r="V30" s="4">
        <v>12.56</v>
      </c>
      <c r="W30" s="4">
        <v>12.49</v>
      </c>
      <c r="X30" s="4">
        <v>12.2</v>
      </c>
      <c r="Y30" s="4">
        <v>11.96</v>
      </c>
      <c r="Z30" s="4">
        <v>12.2</v>
      </c>
      <c r="AA30" s="4">
        <v>11.93</v>
      </c>
      <c r="AB30" s="4">
        <v>11.55</v>
      </c>
      <c r="AC30" s="4">
        <v>11.59</v>
      </c>
      <c r="AD30" s="4">
        <v>11.25</v>
      </c>
      <c r="AE30" s="4">
        <v>10.61</v>
      </c>
      <c r="AF30" s="4">
        <v>9.91</v>
      </c>
      <c r="AG30" s="4">
        <v>10.43</v>
      </c>
      <c r="AH30" s="4">
        <v>10.64</v>
      </c>
      <c r="AI30" s="4">
        <v>10.66</v>
      </c>
      <c r="AJ30" s="4">
        <v>10.49</v>
      </c>
      <c r="AK30" s="4">
        <v>10.74</v>
      </c>
      <c r="AL30" s="4">
        <v>11.22</v>
      </c>
      <c r="AM30" s="4">
        <v>11.2</v>
      </c>
      <c r="AN30" s="4">
        <v>11.4</v>
      </c>
      <c r="AO30" s="4">
        <v>10.48</v>
      </c>
      <c r="AP30" s="4">
        <v>10.84</v>
      </c>
      <c r="AQ30" s="4">
        <v>10.69</v>
      </c>
      <c r="AR30" s="4">
        <v>10.3</v>
      </c>
      <c r="AS30" s="4">
        <v>10.25</v>
      </c>
      <c r="AT30" s="4">
        <v>10.3</v>
      </c>
      <c r="AU30" s="4">
        <v>10.09</v>
      </c>
      <c r="AV30" s="4">
        <v>10.45</v>
      </c>
      <c r="AW30" s="4">
        <v>9.76</v>
      </c>
      <c r="AX30" s="4">
        <v>9.5</v>
      </c>
      <c r="AY30" s="12">
        <v>9.6300000000000008</v>
      </c>
      <c r="AZ30" s="12">
        <v>9.5</v>
      </c>
      <c r="BA30" s="12">
        <v>9.5</v>
      </c>
      <c r="BB30" s="15">
        <v>9.84</v>
      </c>
      <c r="BC30" s="52">
        <v>10.1</v>
      </c>
      <c r="BD30" s="52">
        <v>9.7100000000000009</v>
      </c>
      <c r="BE30" s="52">
        <v>9.75</v>
      </c>
      <c r="BF30" s="52">
        <v>9.6</v>
      </c>
      <c r="BG30" s="67">
        <v>9.7200000000000006</v>
      </c>
      <c r="BH30" s="52">
        <v>9.58</v>
      </c>
      <c r="BI30" s="52">
        <v>10.06</v>
      </c>
      <c r="BJ30" s="52">
        <v>10.17</v>
      </c>
      <c r="BK30" s="52">
        <v>9.91</v>
      </c>
      <c r="BL30" s="52" cm="1">
        <f t="array" aca="1" ref="BL30" ca="1">_FV(EC30,"Preço")</f>
        <v>9.91</v>
      </c>
      <c r="BM30" s="69" t="s">
        <v>27</v>
      </c>
      <c r="BN30" s="36" cm="1">
        <f t="array" aca="1" ref="BN30" ca="1">_FV(EC30,"Média de volume",TRUE)</f>
        <v>87500</v>
      </c>
      <c r="BO30" s="36">
        <v>95800</v>
      </c>
      <c r="BP30" s="36" cm="1">
        <f t="array" aca="1" ref="BP30" ca="1">_FV(EC30,"Volume")</f>
        <v>95800</v>
      </c>
      <c r="BQ30" s="24" cm="1">
        <f t="array" aca="1" ref="BQ30" ca="1">_FV(EC30,"Beta")</f>
        <v>0.14099999999999999</v>
      </c>
      <c r="BR30" s="71" cm="1">
        <f t="array" aca="1" ref="BR30" ca="1">_FV(EC30,"Variação (%)",TRUE)</f>
        <v>-9.0000000000000011E-3</v>
      </c>
      <c r="BT30" s="17" cm="1">
        <f t="array" aca="1" ref="BT30" ca="1">_FV(EC30,"Baixo")</f>
        <v>9.91</v>
      </c>
      <c r="BU30" s="17" cm="1">
        <f t="array" aca="1" ref="BU30" ca="1">_FV(EC30,"Alto")</f>
        <v>10.19</v>
      </c>
      <c r="BV30" s="24"/>
      <c r="BW30" s="63">
        <f ca="1">SQRT(22.5*(BL30/VLOOKUP(BM30,Fundamentus!A:U,3,FALSE))*(BL30/VLOOKUP(BM30,Fundamentus!A:U,4,FALSE)))</f>
        <v>17.016543222641445</v>
      </c>
      <c r="BY30" s="62">
        <f t="shared" ca="1" si="24"/>
        <v>0</v>
      </c>
      <c r="BZ30" s="8"/>
      <c r="CA30" s="61">
        <f t="shared" si="25"/>
        <v>9.5</v>
      </c>
      <c r="CB30" s="61">
        <f t="shared" si="26"/>
        <v>12.68</v>
      </c>
      <c r="CC30" s="61">
        <f t="shared" si="27"/>
        <v>10.792222222222225</v>
      </c>
      <c r="CD30" s="14"/>
      <c r="CE30" s="35">
        <f t="shared" si="1"/>
        <v>9.5364467701597846</v>
      </c>
      <c r="CF30" s="15">
        <f t="shared" si="28"/>
        <v>9.9849999999999</v>
      </c>
      <c r="CG30" s="35">
        <f t="shared" si="2"/>
        <v>10.433553229840015</v>
      </c>
      <c r="CI30" s="14"/>
      <c r="CJ30" s="17">
        <f t="shared" si="3"/>
        <v>5.706666666666667</v>
      </c>
      <c r="CK30" s="17">
        <f t="shared" si="4"/>
        <v>7.6033333333333335</v>
      </c>
      <c r="CL30" s="17">
        <f t="shared" si="5"/>
        <v>8.8866666666666667</v>
      </c>
      <c r="CM30" s="38">
        <f t="shared" si="29"/>
        <v>10.783333333333333</v>
      </c>
      <c r="CN30" s="17">
        <f t="shared" si="6"/>
        <v>12.066666666666666</v>
      </c>
      <c r="CO30" s="17">
        <f t="shared" si="7"/>
        <v>13.963333333333333</v>
      </c>
      <c r="CP30" s="17">
        <f t="shared" si="8"/>
        <v>15.246666666666666</v>
      </c>
      <c r="CQ30" s="2" cm="1">
        <f t="array" aca="1" ref="CQ30" ca="1">MAX(_xlfn._xlws.FILTER(CJ30:CP30,CJ30:CP30&lt;BL30))</f>
        <v>8.8866666666666667</v>
      </c>
      <c r="CR30" s="2" cm="1">
        <f t="array" aca="1" ref="CR30" ca="1">MIN(_xlfn._xlws.FILTER($CJ30:$CP30,$CJ30:$CP30&gt;BL30))</f>
        <v>10.783333333333333</v>
      </c>
      <c r="CS30" s="16">
        <f t="shared" ca="1" si="63"/>
        <v>0.21342835708927232</v>
      </c>
      <c r="CT30" s="20">
        <f t="shared" ca="1" si="64"/>
        <v>-0.10671417854463616</v>
      </c>
      <c r="CU30" s="20">
        <f t="shared" ca="1" si="65"/>
        <v>-7.1142785696424113E-2</v>
      </c>
      <c r="CV30" s="20">
        <f t="shared" ca="1" si="66"/>
        <v>-4.2685671417854468E-2</v>
      </c>
      <c r="CW30" s="20">
        <f t="shared" ca="1" si="67"/>
        <v>-2.3714261898808035E-2</v>
      </c>
      <c r="CX30" s="20">
        <f t="shared" ca="1" si="68"/>
        <v>-1.255460924054543E-2</v>
      </c>
      <c r="CY30" s="20">
        <f t="shared" ca="1" si="69"/>
        <v>-6.4675259724021918E-3</v>
      </c>
      <c r="CZ30" s="20">
        <f t="shared" ca="1" si="70"/>
        <v>-3.2835131859888051E-3</v>
      </c>
      <c r="DA30" s="21">
        <f t="shared" ca="1" si="71"/>
        <v>3.2835131859888051E-3</v>
      </c>
      <c r="DB30" s="21">
        <f t="shared" ca="1" si="72"/>
        <v>6.4675259724021918E-3</v>
      </c>
      <c r="DC30" s="21">
        <f t="shared" ca="1" si="73"/>
        <v>1.255460924054543E-2</v>
      </c>
      <c r="DD30" s="21">
        <f t="shared" ca="1" si="74"/>
        <v>2.3714261898808035E-2</v>
      </c>
      <c r="DE30" s="21">
        <f t="shared" ca="1" si="75"/>
        <v>4.2685671417854468E-2</v>
      </c>
      <c r="DF30" s="21">
        <f t="shared" ca="1" si="76"/>
        <v>7.1142785696424113E-2</v>
      </c>
      <c r="DG30" s="21">
        <f t="shared" ca="1" si="77"/>
        <v>0.10671417854463616</v>
      </c>
      <c r="DI30" s="16" cm="1">
        <f t="array" aca="1" ref="DI30" ca="1">MAX(_xlfn._xlws.FILTER(CT30:DG30,CT30:DG30&lt;BR30))</f>
        <v>-1.255460924054543E-2</v>
      </c>
      <c r="DJ30" s="16" cm="1">
        <f t="array" aca="1" ref="DJ30" ca="1">MIN(_xlfn._xlws.FILTER(CT30:DG30,CT30:DG30&gt;BR30))</f>
        <v>-6.4675259724021918E-3</v>
      </c>
      <c r="DK30" s="2" cm="1">
        <f t="array" aca="1" ref="DK30" ca="1">_FV(EC30,"Fechamento anterior",TRUE)</f>
        <v>10</v>
      </c>
      <c r="DL30" s="28">
        <f t="shared" ca="1" si="15"/>
        <v>0.58395935852371861</v>
      </c>
      <c r="DM30" s="15">
        <f t="shared" ca="1" si="78"/>
        <v>9.8744539075945461</v>
      </c>
      <c r="DN30" s="15">
        <f t="shared" ca="1" si="79"/>
        <v>9.9353247402759788</v>
      </c>
      <c r="DO30" s="9"/>
      <c r="DP30" s="9"/>
      <c r="DQ30" s="9"/>
      <c r="DR30" s="89">
        <v>5.8810375670840737E-3</v>
      </c>
      <c r="DS30" s="89">
        <v>7.333970377448637E-3</v>
      </c>
      <c r="DT30" s="89">
        <v>6.5670263719776103E-3</v>
      </c>
      <c r="DU30" s="89">
        <v>6.0870832681432386E-3</v>
      </c>
      <c r="DV30" s="89">
        <f t="shared" ca="1" si="18"/>
        <v>6.0870832681432386E-3</v>
      </c>
      <c r="DW30" s="72">
        <f t="shared" ca="1" si="19"/>
        <v>-0.1672042357751681</v>
      </c>
      <c r="DX30" s="37"/>
      <c r="DY30" s="35">
        <f t="shared" si="39"/>
        <v>0.2242766149200581</v>
      </c>
      <c r="DZ30" s="56"/>
      <c r="EA30" s="56"/>
      <c r="EC30" s="2" t="e" vm="30">
        <v>#VALUE!</v>
      </c>
      <c r="EE30" s="10" cm="1">
        <f t="array" aca="1" ref="EE30" ca="1">_FV(EC30,"Ações em circulação",TRUE)</f>
        <v>42275080</v>
      </c>
      <c r="EF30" s="18">
        <f>VLOOKUP(BM30,Fundamentus!A:U,5,FALSE)</f>
        <v>0.96499999999999997</v>
      </c>
      <c r="EG30" s="2">
        <f t="shared" ca="1" si="20"/>
        <v>434140976.99481869</v>
      </c>
      <c r="EH30" s="17">
        <v>76365397.853388608</v>
      </c>
      <c r="EI30" s="17">
        <f t="shared" ca="1" si="21"/>
        <v>76365397.853388608</v>
      </c>
      <c r="EK30" s="16">
        <f t="shared" ca="1" si="22"/>
        <v>0</v>
      </c>
      <c r="EL30" s="32" t="str">
        <f>IF(VLOOKUP(BM30,Fundamentus!A:U,3,FALSE)&lt;15,"Bom",IF(VLOOKUP(BM30,Fundamentus!A:U,3,FALSE)&gt;15,"Ruim","n/a"))</f>
        <v>Bom</v>
      </c>
      <c r="EM30" s="28" t="str">
        <f>IF(VLOOKUP(BM30,Fundamentus!A:U,4,FALSE)&lt;1,"Baixo",IF(VLOOKUP(BM30,Fundamentus!A:U,4,FALSE)&lt;1.5,"Moderado",IF(VLOOKUP(BM30,Fundamentus!A:U,4,FALSE)&gt;1.5,"Alto","n/a")))</f>
        <v>Moderado</v>
      </c>
      <c r="EN30" s="17" t="str">
        <f>IF(VLOOKUP(BM30,Fundamentus!A:U,8,FALSE)&lt;0,"Risco elevado",IF(VLOOKUP(BM30,Fundamentus!A:U,8,FALSE)&lt;1,"Saudável",IF(VLOOKUP(BM30,Fundamentus!A:U,8,FALSE)&lt;3,"Estável",IF(VLOOKUP(BM30,Fundamentus!A:U,8,FALSE)&gt;3,"Alerta","n/a"))))</f>
        <v>Alerta</v>
      </c>
      <c r="EO30" s="28" t="str">
        <f t="shared" si="23"/>
        <v>Ruim</v>
      </c>
      <c r="EP30" s="17" t="str">
        <f>IF(VLOOKUP(BM30,Fundamentus!A:U,12,FALSE)&lt;2,"Subvalorizada",IF(VLOOKUP(BM30,Fundamentus!A:U,12,FALSE)&lt;6,"Muita barata",IF(VLOOKUP(BM30,Fundamentus!A:U,12,FALSE)&lt;6,"Barata",IF(VLOOKUP(BM30,Fundamentus!A:U,12,FALSE)&lt;8,"Atrativa",IF(VLOOKUP(BM30,Fundamentus!A:U,12,FALSE)&gt;8,"Supervalorizada","n/a")))))</f>
        <v>Muita barata</v>
      </c>
      <c r="ER30" s="17" t="str">
        <f>IF(VLOOKUP(BM30,Fundamentus!A:U,17,FALSE)&lt;0.1,"Fraco retorno",IF(VLOOKUP(BM30,Fundamentus!A:U,17,FALSE)&gt;0.1,"Bom retorno","n/a"))</f>
        <v>Bom retorno</v>
      </c>
      <c r="ES30" s="17" t="str">
        <f>IF(VLOOKUP(BM30,Fundamentus!A:U,16,FALSE)&lt;0.1,"Ineficiente",IF(VLOOKUP(BM30,Fundamentus!A:U,16,FALSE)&gt;0.1,"Eficiente","n/a"))</f>
        <v>Eficiente</v>
      </c>
      <c r="ET30" s="33" t="str">
        <f>IF(VLOOKUP(BM30,Fundamentus!A:U,16,FALSE)&lt;0.1,"Oper. Ineficiente",IF(VLOOKUP(BM30,Fundamentus!A:U,16,FALSE)&gt;0.1,"Oper.Eficiente","n/a"))</f>
        <v>Oper.Eficiente</v>
      </c>
      <c r="EU30" s="34">
        <f>VLOOKUP(BM30,Fundamentus!A:U,14,FALSE)</f>
        <v>0.1759</v>
      </c>
      <c r="EV30" s="17" t="str">
        <f>IF(VLOOKUP(BM30,Fundamentus!A:U,21,FALSE)&lt;0,"Negativo",IF(VLOOKUP(BM30,Fundamentus!A:U,21,FALSE)&lt;0.05,"Fraco",IF(VLOOKUP(BM30,Fundamentus!A:U,21,FALSE)&lt;0.1,"Bom",IF(VLOOKUP(BM30,Fundamentus!A:U,21,FALSE)&gt;0.1,"Muito bom","n/a"))))</f>
        <v>Muito bom</v>
      </c>
      <c r="EX30" s="29" t="str">
        <f>IF(VLOOKUP(BM30,Fundamentus!A:U,15,FALSE)&gt;1,"Bom",IF(VLOOKUP(BM30,Fundamentus!A:U,15,FALSE)&lt;1,"Ruim","n/a"))</f>
        <v>Bom</v>
      </c>
      <c r="EY30" s="17" t="str">
        <f>IF(VLOOKUP(BM30,Fundamentus!A:U,20,FALSE)&lt;0.5,"Baixa",IF(VLOOKUP(BM30,Fundamentus!A:U,20,FALSE)&lt;1,"Moderada",IF(VLOOKUP(BM30,Fundamentus!A:U,20,FALSE)&lt;2,"Alerta",IF(VLOOKUP(BM30,Fundamentus!A:U,20,FALSE)&gt;2,"Alta","n/a"))))</f>
        <v>Baixa</v>
      </c>
    </row>
    <row r="31" spans="1:156" s="2" customFormat="1" ht="11.25" x14ac:dyDescent="0.2">
      <c r="A31" s="4">
        <v>19.52</v>
      </c>
      <c r="B31" s="4">
        <v>19.399999999999999</v>
      </c>
      <c r="C31" s="4">
        <v>19.38</v>
      </c>
      <c r="D31" s="4">
        <v>19.37</v>
      </c>
      <c r="E31" s="4">
        <v>18.59</v>
      </c>
      <c r="F31" s="4">
        <v>17.600000000000001</v>
      </c>
      <c r="G31" s="4">
        <v>17.55</v>
      </c>
      <c r="H31" s="4">
        <v>17.440000000000001</v>
      </c>
      <c r="I31" s="4">
        <v>17.95</v>
      </c>
      <c r="J31" s="4">
        <v>18.48</v>
      </c>
      <c r="K31" s="4">
        <v>18.489999999999998</v>
      </c>
      <c r="L31" s="4">
        <v>18.29</v>
      </c>
      <c r="M31" s="4">
        <v>17.829999999999998</v>
      </c>
      <c r="N31" s="4">
        <v>17.28</v>
      </c>
      <c r="O31" s="4">
        <v>17.38</v>
      </c>
      <c r="P31" s="4">
        <v>17.54</v>
      </c>
      <c r="Q31" s="4">
        <v>17.600000000000001</v>
      </c>
      <c r="R31" s="4">
        <v>17.899999999999999</v>
      </c>
      <c r="S31" s="4">
        <v>17.899999999999999</v>
      </c>
      <c r="T31" s="4">
        <v>17.89</v>
      </c>
      <c r="U31" s="4">
        <v>17.75</v>
      </c>
      <c r="V31" s="4">
        <v>18.89</v>
      </c>
      <c r="W31" s="4">
        <v>18.329999999999998</v>
      </c>
      <c r="X31" s="4">
        <v>18.04</v>
      </c>
      <c r="Y31" s="4">
        <v>17.62</v>
      </c>
      <c r="Z31" s="4">
        <v>17.98</v>
      </c>
      <c r="AA31" s="4">
        <v>18.100000000000001</v>
      </c>
      <c r="AB31" s="4">
        <v>18.079999999999998</v>
      </c>
      <c r="AC31" s="4">
        <v>16.66</v>
      </c>
      <c r="AD31" s="4">
        <v>16.670000000000002</v>
      </c>
      <c r="AE31" s="4">
        <v>16.91</v>
      </c>
      <c r="AF31" s="4">
        <v>16.55</v>
      </c>
      <c r="AG31" s="4">
        <v>16.64</v>
      </c>
      <c r="AH31" s="4">
        <v>16</v>
      </c>
      <c r="AI31" s="4">
        <v>15.9</v>
      </c>
      <c r="AJ31" s="4">
        <v>15.36</v>
      </c>
      <c r="AK31" s="4">
        <v>14.95</v>
      </c>
      <c r="AL31" s="4">
        <v>15.7</v>
      </c>
      <c r="AM31" s="4">
        <v>15.2</v>
      </c>
      <c r="AN31" s="4">
        <v>15.39</v>
      </c>
      <c r="AO31" s="4">
        <v>15.49</v>
      </c>
      <c r="AP31" s="4">
        <v>15.64</v>
      </c>
      <c r="AQ31" s="4">
        <v>15.86</v>
      </c>
      <c r="AR31" s="4">
        <v>15.55</v>
      </c>
      <c r="AS31" s="4">
        <v>15.5</v>
      </c>
      <c r="AT31" s="4">
        <v>15.98</v>
      </c>
      <c r="AU31" s="4">
        <v>16.605</v>
      </c>
      <c r="AV31" s="4">
        <v>17</v>
      </c>
      <c r="AW31" s="4">
        <v>15.98</v>
      </c>
      <c r="AX31" s="4">
        <v>16.52</v>
      </c>
      <c r="AY31" s="12">
        <v>16.399999999999999</v>
      </c>
      <c r="AZ31" s="12">
        <v>16.670000000000002</v>
      </c>
      <c r="BA31" s="12">
        <v>15.32</v>
      </c>
      <c r="BB31" s="15">
        <v>15.28</v>
      </c>
      <c r="BC31" s="52">
        <v>15.81</v>
      </c>
      <c r="BD31" s="52">
        <v>15.14</v>
      </c>
      <c r="BE31" s="52">
        <v>14.69</v>
      </c>
      <c r="BF31" s="52">
        <v>14.74</v>
      </c>
      <c r="BG31" s="67">
        <v>14.5</v>
      </c>
      <c r="BH31" s="52">
        <v>14.49</v>
      </c>
      <c r="BI31" s="52">
        <v>14.59</v>
      </c>
      <c r="BJ31" s="52">
        <v>15.4</v>
      </c>
      <c r="BK31" s="52">
        <v>15.4</v>
      </c>
      <c r="BL31" s="52" cm="1">
        <f t="array" aca="1" ref="BL31" ca="1">_FV(EC31,"Preço")</f>
        <v>15.4</v>
      </c>
      <c r="BM31" s="69" t="s">
        <v>28</v>
      </c>
      <c r="BN31" s="36" cm="1">
        <f t="array" aca="1" ref="BN31" ca="1">_FV(EC31,"Média de volume",TRUE)</f>
        <v>3283340</v>
      </c>
      <c r="BO31" s="36">
        <v>31600</v>
      </c>
      <c r="BP31" s="36" cm="1">
        <f t="array" aca="1" ref="BP31" ca="1">_FV(EC31,"Volume")</f>
        <v>31600</v>
      </c>
      <c r="BQ31" s="24" cm="1">
        <f t="array" aca="1" ref="BQ31" ca="1">_FV(EC31,"Beta")</f>
        <v>0.9133</v>
      </c>
      <c r="BR31" s="71" cm="1">
        <f t="array" aca="1" ref="BR31" ca="1">_FV(EC31,"Variação (%)",TRUE)</f>
        <v>6.5359999999999993E-3</v>
      </c>
      <c r="BT31" s="17" cm="1">
        <f t="array" aca="1" ref="BT31" ca="1">_FV(EC31,"Baixo")</f>
        <v>15.15</v>
      </c>
      <c r="BU31" s="17" cm="1">
        <f t="array" aca="1" ref="BU31" ca="1">_FV(EC31,"Alto")</f>
        <v>15.4</v>
      </c>
      <c r="BV31" s="24"/>
      <c r="BW31" s="63">
        <f ca="1">SQRT(22.5*(BL31/VLOOKUP(BM31,Fundamentus!A:U,3,FALSE))*(BL31/VLOOKUP(BM31,Fundamentus!A:U,4,FALSE)))</f>
        <v>40.703345010968903</v>
      </c>
      <c r="BY31" s="62">
        <f t="shared" ca="1" si="24"/>
        <v>0</v>
      </c>
      <c r="BZ31" s="8"/>
      <c r="CA31" s="61">
        <f t="shared" si="25"/>
        <v>14.49</v>
      </c>
      <c r="CB31" s="61">
        <f t="shared" si="26"/>
        <v>19.52</v>
      </c>
      <c r="CC31" s="61">
        <f t="shared" si="27"/>
        <v>16.804047619047619</v>
      </c>
      <c r="CD31" s="14"/>
      <c r="CE31" s="35">
        <f t="shared" si="1"/>
        <v>14.356753906121826</v>
      </c>
      <c r="CF31" s="15">
        <f t="shared" si="28"/>
        <v>15.14699999999948</v>
      </c>
      <c r="CG31" s="35">
        <f t="shared" si="2"/>
        <v>15.937246093877134</v>
      </c>
      <c r="CI31" s="14"/>
      <c r="CJ31" s="17">
        <f t="shared" si="3"/>
        <v>8.3899999999999988</v>
      </c>
      <c r="CK31" s="17">
        <f t="shared" si="4"/>
        <v>11.44</v>
      </c>
      <c r="CL31" s="17">
        <f t="shared" si="5"/>
        <v>13.419999999999998</v>
      </c>
      <c r="CM31" s="38">
        <f t="shared" si="29"/>
        <v>16.47</v>
      </c>
      <c r="CN31" s="17">
        <f t="shared" si="6"/>
        <v>18.449999999999996</v>
      </c>
      <c r="CO31" s="17">
        <f t="shared" si="7"/>
        <v>21.5</v>
      </c>
      <c r="CP31" s="17">
        <f t="shared" si="8"/>
        <v>23.479999999999997</v>
      </c>
      <c r="CQ31" s="2" cm="1">
        <f t="array" aca="1" ref="CQ31" ca="1">MAX(_xlfn._xlws.FILTER(CJ31:CP31,CJ31:CP31&lt;BL31))</f>
        <v>13.419999999999998</v>
      </c>
      <c r="CR31" s="2" cm="1">
        <f t="array" aca="1" ref="CR31" ca="1">MIN(_xlfn._xlws.FILTER($CJ31:$CP31,$CJ31:$CP31&gt;BL31))</f>
        <v>16.47</v>
      </c>
      <c r="CS31" s="16">
        <f t="shared" ca="1" si="63"/>
        <v>0.22727272727272729</v>
      </c>
      <c r="CT31" s="20">
        <f t="shared" ca="1" si="64"/>
        <v>-0.11363636363636365</v>
      </c>
      <c r="CU31" s="20">
        <f t="shared" ca="1" si="65"/>
        <v>-7.575757575757576E-2</v>
      </c>
      <c r="CV31" s="20">
        <f t="shared" ca="1" si="66"/>
        <v>-4.5454545454545456E-2</v>
      </c>
      <c r="CW31" s="20">
        <f t="shared" ca="1" si="67"/>
        <v>-2.5252525252525256E-2</v>
      </c>
      <c r="CX31" s="20">
        <f t="shared" ca="1" si="68"/>
        <v>-1.3368983957219253E-2</v>
      </c>
      <c r="CY31" s="20">
        <f t="shared" ca="1" si="69"/>
        <v>-6.8870523415977963E-3</v>
      </c>
      <c r="CZ31" s="20">
        <f t="shared" ca="1" si="70"/>
        <v>-3.4965034965034969E-3</v>
      </c>
      <c r="DA31" s="21">
        <f t="shared" ca="1" si="71"/>
        <v>3.4965034965034969E-3</v>
      </c>
      <c r="DB31" s="21">
        <f t="shared" ca="1" si="72"/>
        <v>6.8870523415977963E-3</v>
      </c>
      <c r="DC31" s="21">
        <f t="shared" ca="1" si="73"/>
        <v>1.3368983957219253E-2</v>
      </c>
      <c r="DD31" s="21">
        <f t="shared" ca="1" si="74"/>
        <v>2.5252525252525256E-2</v>
      </c>
      <c r="DE31" s="21">
        <f t="shared" ca="1" si="75"/>
        <v>4.5454545454545456E-2</v>
      </c>
      <c r="DF31" s="21">
        <f t="shared" ca="1" si="76"/>
        <v>7.575757575757576E-2</v>
      </c>
      <c r="DG31" s="21">
        <f t="shared" ca="1" si="77"/>
        <v>0.11363636363636365</v>
      </c>
      <c r="DI31" s="16" cm="1">
        <f t="array" aca="1" ref="DI31" ca="1">MAX(_xlfn._xlws.FILTER(CT31:DG31,CT31:DG31&lt;BR31))</f>
        <v>3.4965034965034969E-3</v>
      </c>
      <c r="DJ31" s="16" cm="1">
        <f t="array" aca="1" ref="DJ31" ca="1">MIN(_xlfn._xlws.FILTER(CT31:DG31,CT31:DG31&gt;BR31))</f>
        <v>6.8870523415977963E-3</v>
      </c>
      <c r="DK31" s="2" cm="1">
        <f t="array" aca="1" ref="DK31" ca="1">_FV(EC31,"Fechamento anterior",TRUE)</f>
        <v>15.3</v>
      </c>
      <c r="DL31" s="28">
        <f t="shared" ca="1" si="15"/>
        <v>0.89644607843136592</v>
      </c>
      <c r="DM31" s="15">
        <f t="shared" ca="1" si="78"/>
        <v>15.353496503496505</v>
      </c>
      <c r="DN31" s="15">
        <f t="shared" ca="1" si="79"/>
        <v>15.405371900826447</v>
      </c>
      <c r="DO31" s="9"/>
      <c r="DP31" s="9"/>
      <c r="DQ31" s="9"/>
      <c r="DR31" s="89">
        <v>7.5746883086332661E-3</v>
      </c>
      <c r="DS31" s="89">
        <v>7.4414192061250939E-3</v>
      </c>
      <c r="DT31" s="89">
        <v>6.9930069930069939E-3</v>
      </c>
      <c r="DU31" s="89">
        <v>3.3905488450942994E-3</v>
      </c>
      <c r="DV31" s="89">
        <f t="shared" ca="1" si="18"/>
        <v>3.3905488450942994E-3</v>
      </c>
      <c r="DW31" s="72">
        <f t="shared" ca="1" si="19"/>
        <v>0.32015343316545403</v>
      </c>
      <c r="DX31" s="37"/>
      <c r="DY31" s="35">
        <f t="shared" si="39"/>
        <v>0.39512304693882677</v>
      </c>
      <c r="DZ31" s="56"/>
      <c r="EA31" s="56"/>
      <c r="EC31" s="2" t="e" vm="31">
        <v>#VALUE!</v>
      </c>
      <c r="EE31" s="10" cm="1">
        <f t="array" aca="1" ref="EE31" ca="1">_FV(EC31,"Ações em circulação",TRUE)</f>
        <v>393096600</v>
      </c>
      <c r="EF31" s="18">
        <f>VLOOKUP(BM31,Fundamentus!A:U,5,FALSE)</f>
        <v>0</v>
      </c>
      <c r="EG31" s="2" t="e">
        <f t="shared" ca="1" si="20"/>
        <v>#DIV/0!</v>
      </c>
      <c r="EH31" s="17" t="e">
        <v>#DIV/0!</v>
      </c>
      <c r="EI31" s="17" t="e">
        <f t="shared" ca="1" si="21"/>
        <v>#DIV/0!</v>
      </c>
      <c r="EK31" s="16" t="e">
        <f t="shared" ca="1" si="22"/>
        <v>#DIV/0!</v>
      </c>
      <c r="EL31" s="32" t="str">
        <f>IF(VLOOKUP(BM31,Fundamentus!A:U,3,FALSE)&lt;15,"Bom",IF(VLOOKUP(BM31,Fundamentus!A:U,3,FALSE)&gt;15,"Ruim","n/a"))</f>
        <v>Bom</v>
      </c>
      <c r="EM31" s="28" t="str">
        <f>IF(VLOOKUP(BM31,Fundamentus!A:U,4,FALSE)&lt;1,"Baixo",IF(VLOOKUP(BM31,Fundamentus!A:U,4,FALSE)&lt;1.5,"Moderado",IF(VLOOKUP(BM31,Fundamentus!A:U,4,FALSE)&gt;1.5,"Alto","n/a")))</f>
        <v>Baixo</v>
      </c>
      <c r="EN31" s="17" t="str">
        <f>IF(VLOOKUP(BM31,Fundamentus!A:U,8,FALSE)&lt;0,"Risco elevado",IF(VLOOKUP(BM31,Fundamentus!A:U,8,FALSE)&lt;1,"Saudável",IF(VLOOKUP(BM31,Fundamentus!A:U,8,FALSE)&lt;3,"Estável",IF(VLOOKUP(BM31,Fundamentus!A:U,8,FALSE)&gt;3,"Alerta","n/a"))))</f>
        <v>Alerta</v>
      </c>
      <c r="EO31" s="28" t="str">
        <f t="shared" si="23"/>
        <v>Ruim</v>
      </c>
      <c r="EP31" s="17" t="str">
        <f>IF(VLOOKUP(BM31,Fundamentus!A:U,12,FALSE)&lt;2,"Subvalorizada",IF(VLOOKUP(BM31,Fundamentus!A:U,12,FALSE)&lt;6,"Muita barata",IF(VLOOKUP(BM31,Fundamentus!A:U,12,FALSE)&lt;6,"Barata",IF(VLOOKUP(BM31,Fundamentus!A:U,12,FALSE)&lt;8,"Atrativa",IF(VLOOKUP(BM31,Fundamentus!A:U,12,FALSE)&gt;8,"Supervalorizada","n/a")))))</f>
        <v>Subvalorizada</v>
      </c>
      <c r="ER31" s="17" t="str">
        <f>IF(VLOOKUP(BM31,Fundamentus!A:U,17,FALSE)&lt;0.1,"Fraco retorno",IF(VLOOKUP(BM31,Fundamentus!A:U,17,FALSE)&gt;0.1,"Bom retorno","n/a"))</f>
        <v>Bom retorno</v>
      </c>
      <c r="ES31" s="17" t="str">
        <f>IF(VLOOKUP(BM31,Fundamentus!A:U,16,FALSE)&lt;0.1,"Ineficiente",IF(VLOOKUP(BM31,Fundamentus!A:U,16,FALSE)&gt;0.1,"Eficiente","n/a"))</f>
        <v>Ineficiente</v>
      </c>
      <c r="ET31" s="33" t="str">
        <f>IF(VLOOKUP(BM31,Fundamentus!A:U,16,FALSE)&lt;0.1,"Oper. Ineficiente",IF(VLOOKUP(BM31,Fundamentus!A:U,16,FALSE)&gt;0.1,"Oper.Eficiente","n/a"))</f>
        <v>Oper. Ineficiente</v>
      </c>
      <c r="EU31" s="34">
        <f>VLOOKUP(BM31,Fundamentus!A:U,14,FALSE)</f>
        <v>0</v>
      </c>
      <c r="EV31" s="17" t="str">
        <f>IF(VLOOKUP(BM31,Fundamentus!A:U,21,FALSE)&lt;0,"Negativo",IF(VLOOKUP(BM31,Fundamentus!A:U,21,FALSE)&lt;0.05,"Fraco",IF(VLOOKUP(BM31,Fundamentus!A:U,21,FALSE)&lt;0.1,"Bom",IF(VLOOKUP(BM31,Fundamentus!A:U,21,FALSE)&gt;0.1,"Muito bom","n/a"))))</f>
        <v>Fraco</v>
      </c>
      <c r="EX31" s="29" t="str">
        <f>IF(VLOOKUP(BM31,Fundamentus!A:U,15,FALSE)&gt;1,"Bom",IF(VLOOKUP(BM31,Fundamentus!A:U,15,FALSE)&lt;1,"Ruim","n/a"))</f>
        <v>Bom</v>
      </c>
      <c r="EY31" s="17" t="str">
        <f>IF(VLOOKUP(BM31,Fundamentus!A:U,20,FALSE)&lt;0.5,"Baixa",IF(VLOOKUP(BM31,Fundamentus!A:U,20,FALSE)&lt;1,"Moderada",IF(VLOOKUP(BM31,Fundamentus!A:U,20,FALSE)&lt;2,"Alerta",IF(VLOOKUP(BM31,Fundamentus!A:U,20,FALSE)&gt;2,"Alta","n/a"))))</f>
        <v>Baixa</v>
      </c>
    </row>
    <row r="32" spans="1:156" s="2" customFormat="1" ht="11.25" x14ac:dyDescent="0.2">
      <c r="A32" s="4">
        <v>1.4</v>
      </c>
      <c r="B32" s="4">
        <v>1.3</v>
      </c>
      <c r="C32" s="4">
        <v>1.21</v>
      </c>
      <c r="D32" s="4">
        <v>1.29</v>
      </c>
      <c r="E32" s="4">
        <v>1.21</v>
      </c>
      <c r="F32" s="4">
        <v>1.2</v>
      </c>
      <c r="G32" s="4">
        <v>1.17</v>
      </c>
      <c r="H32" s="4">
        <v>1.19</v>
      </c>
      <c r="I32" s="4">
        <v>1.1399999999999999</v>
      </c>
      <c r="J32" s="4">
        <v>1.1499999999999999</v>
      </c>
      <c r="K32" s="4">
        <v>1.19</v>
      </c>
      <c r="L32" s="4">
        <v>1.1599999999999999</v>
      </c>
      <c r="M32" s="4">
        <v>1.17</v>
      </c>
      <c r="N32" s="4">
        <v>1.1599999999999999</v>
      </c>
      <c r="O32" s="4">
        <v>1.2</v>
      </c>
      <c r="P32" s="4">
        <v>1.1499999999999999</v>
      </c>
      <c r="Q32" s="4">
        <v>1.17</v>
      </c>
      <c r="R32" s="4">
        <v>1.19</v>
      </c>
      <c r="S32" s="4">
        <v>1.18</v>
      </c>
      <c r="T32" s="4">
        <v>1.19</v>
      </c>
      <c r="U32" s="4">
        <v>1.1599999999999999</v>
      </c>
      <c r="V32" s="4">
        <v>1.18</v>
      </c>
      <c r="W32" s="4">
        <v>1.18</v>
      </c>
      <c r="X32" s="4">
        <v>1.17</v>
      </c>
      <c r="Y32" s="4">
        <v>1.28</v>
      </c>
      <c r="Z32" s="4">
        <v>1.28</v>
      </c>
      <c r="AA32" s="4">
        <v>1.3</v>
      </c>
      <c r="AB32" s="4">
        <v>1.29</v>
      </c>
      <c r="AC32" s="4">
        <v>1.34</v>
      </c>
      <c r="AD32" s="4">
        <v>1.32</v>
      </c>
      <c r="AE32" s="4">
        <v>1.25</v>
      </c>
      <c r="AF32" s="4">
        <v>1.32</v>
      </c>
      <c r="AG32" s="4">
        <v>1.29</v>
      </c>
      <c r="AH32" s="4">
        <v>1.2</v>
      </c>
      <c r="AI32" s="4">
        <v>1.1499999999999999</v>
      </c>
      <c r="AJ32" s="4">
        <v>1.1499999999999999</v>
      </c>
      <c r="AK32" s="4">
        <v>1.1399999999999999</v>
      </c>
      <c r="AL32" s="4">
        <v>1.21</v>
      </c>
      <c r="AM32" s="4">
        <v>1.19</v>
      </c>
      <c r="AN32" s="4">
        <v>1.2</v>
      </c>
      <c r="AO32" s="4">
        <v>1.19</v>
      </c>
      <c r="AP32" s="4">
        <v>1.2</v>
      </c>
      <c r="AQ32" s="4">
        <v>1.1499999999999999</v>
      </c>
      <c r="AR32" s="4">
        <v>1.17</v>
      </c>
      <c r="AS32" s="4">
        <v>1.18</v>
      </c>
      <c r="AT32" s="4">
        <v>1.2</v>
      </c>
      <c r="AU32" s="4">
        <v>1.21</v>
      </c>
      <c r="AV32" s="4">
        <v>1.27</v>
      </c>
      <c r="AW32" s="4">
        <v>1.23</v>
      </c>
      <c r="AX32" s="4">
        <v>1.23</v>
      </c>
      <c r="AY32" s="12">
        <v>1.17</v>
      </c>
      <c r="AZ32" s="12">
        <v>1.22</v>
      </c>
      <c r="BA32" s="12">
        <v>1.22</v>
      </c>
      <c r="BB32" s="15">
        <v>1.23</v>
      </c>
      <c r="BC32" s="52">
        <v>1.24</v>
      </c>
      <c r="BD32" s="52">
        <v>1.23</v>
      </c>
      <c r="BE32" s="52">
        <v>1.24</v>
      </c>
      <c r="BF32" s="52">
        <v>1.22</v>
      </c>
      <c r="BG32" s="67">
        <v>1.23</v>
      </c>
      <c r="BH32" s="52">
        <v>1.23</v>
      </c>
      <c r="BI32" s="52">
        <v>1.21</v>
      </c>
      <c r="BJ32" s="52">
        <v>1.21</v>
      </c>
      <c r="BK32" s="52">
        <v>1.17</v>
      </c>
      <c r="BL32" s="52" cm="1">
        <f t="array" aca="1" ref="BL32" ca="1">_FV(EC32,"Preço")</f>
        <v>1.17</v>
      </c>
      <c r="BM32" s="69" t="s">
        <v>29</v>
      </c>
      <c r="BN32" s="36" cm="1">
        <f t="array" aca="1" ref="BN32" ca="1">_FV(EC32,"Média de volume",TRUE)</f>
        <v>3320</v>
      </c>
      <c r="BO32" s="36">
        <v>2000</v>
      </c>
      <c r="BP32" s="36" cm="1">
        <f t="array" aca="1" ref="BP32" ca="1">_FV(EC32,"Volume")</f>
        <v>2000</v>
      </c>
      <c r="BQ32" s="24" cm="1">
        <f t="array" aca="1" ref="BQ32" ca="1">_FV(EC32,"Beta")</f>
        <v>1.0128999999999999</v>
      </c>
      <c r="BR32" s="71" cm="1">
        <f t="array" aca="1" ref="BR32" ca="1">_FV(EC32,"Variação (%)",TRUE)</f>
        <v>0</v>
      </c>
      <c r="BT32" s="17" cm="1">
        <f t="array" aca="1" ref="BT32" ca="1">_FV(EC32,"Baixo")</f>
        <v>1.17</v>
      </c>
      <c r="BU32" s="17" cm="1">
        <f t="array" aca="1" ref="BU32" ca="1">_FV(EC32,"Alto")</f>
        <v>1.17</v>
      </c>
      <c r="BV32" s="24"/>
      <c r="BW32" s="63" t="e">
        <f ca="1">SQRT(22.5*(BL32/VLOOKUP(BM32,Fundamentus!A:U,3,FALSE))*(BL32/VLOOKUP(BM32,Fundamentus!A:U,4,FALSE)))</f>
        <v>#NUM!</v>
      </c>
      <c r="BY32" s="62">
        <f t="shared" ca="1" si="24"/>
        <v>0</v>
      </c>
      <c r="BZ32" s="8"/>
      <c r="CA32" s="61">
        <f t="shared" si="25"/>
        <v>1.1399999999999999</v>
      </c>
      <c r="CB32" s="61">
        <f t="shared" si="26"/>
        <v>1.4</v>
      </c>
      <c r="CC32" s="61">
        <f t="shared" si="27"/>
        <v>1.2138095238095239</v>
      </c>
      <c r="CD32" s="14"/>
      <c r="CE32" s="35">
        <f t="shared" si="1"/>
        <v>1.1553114812808856</v>
      </c>
      <c r="CF32" s="15">
        <f t="shared" si="28"/>
        <v>1.195999999999998</v>
      </c>
      <c r="CG32" s="35">
        <f t="shared" si="2"/>
        <v>1.2366885187191103</v>
      </c>
      <c r="CI32" s="14"/>
      <c r="CJ32" s="17">
        <f t="shared" si="3"/>
        <v>0.84000000000000008</v>
      </c>
      <c r="CK32" s="17">
        <f t="shared" si="4"/>
        <v>0.99</v>
      </c>
      <c r="CL32" s="17">
        <f t="shared" si="5"/>
        <v>1.1000000000000001</v>
      </c>
      <c r="CM32" s="38">
        <f t="shared" si="29"/>
        <v>1.25</v>
      </c>
      <c r="CN32" s="17">
        <f t="shared" si="6"/>
        <v>1.36</v>
      </c>
      <c r="CO32" s="17">
        <f t="shared" si="7"/>
        <v>1.51</v>
      </c>
      <c r="CP32" s="17">
        <f t="shared" si="8"/>
        <v>1.62</v>
      </c>
      <c r="CQ32" s="2" cm="1">
        <f t="array" aca="1" ref="CQ32" ca="1">MAX(_xlfn._xlws.FILTER(CJ32:CP32,CJ32:CP32&lt;BL32))</f>
        <v>1.1000000000000001</v>
      </c>
      <c r="CR32" s="2" cm="1">
        <f t="array" aca="1" ref="CR32" ca="1">MIN(_xlfn._xlws.FILTER($CJ32:$CP32,$CJ32:$CP32&gt;BL32))</f>
        <v>1.25</v>
      </c>
      <c r="CS32" s="16">
        <f t="shared" ca="1" si="63"/>
        <v>0.13636363636363624</v>
      </c>
      <c r="CT32" s="20">
        <f t="shared" ca="1" si="64"/>
        <v>-6.8181818181818121E-2</v>
      </c>
      <c r="CU32" s="20">
        <f t="shared" ca="1" si="65"/>
        <v>-4.5454545454545414E-2</v>
      </c>
      <c r="CV32" s="20">
        <f t="shared" ca="1" si="66"/>
        <v>-2.7272727272727247E-2</v>
      </c>
      <c r="CW32" s="20">
        <f t="shared" ca="1" si="67"/>
        <v>-1.5151515151515138E-2</v>
      </c>
      <c r="CX32" s="20">
        <f t="shared" ca="1" si="68"/>
        <v>-8.021390374331543E-3</v>
      </c>
      <c r="CY32" s="20">
        <f t="shared" ca="1" si="69"/>
        <v>-4.1322314049586743E-3</v>
      </c>
      <c r="CZ32" s="20">
        <f t="shared" ca="1" si="70"/>
        <v>-2.0979020979020962E-3</v>
      </c>
      <c r="DA32" s="21">
        <f t="shared" ca="1" si="71"/>
        <v>2.0979020979020962E-3</v>
      </c>
      <c r="DB32" s="21">
        <f t="shared" ca="1" si="72"/>
        <v>4.1322314049586743E-3</v>
      </c>
      <c r="DC32" s="21">
        <f t="shared" ca="1" si="73"/>
        <v>8.021390374331543E-3</v>
      </c>
      <c r="DD32" s="21">
        <f t="shared" ca="1" si="74"/>
        <v>1.5151515151515138E-2</v>
      </c>
      <c r="DE32" s="21">
        <f t="shared" ca="1" si="75"/>
        <v>2.7272727272727247E-2</v>
      </c>
      <c r="DF32" s="21">
        <f t="shared" ca="1" si="76"/>
        <v>4.5454545454545414E-2</v>
      </c>
      <c r="DG32" s="21">
        <f t="shared" ca="1" si="77"/>
        <v>6.8181818181818121E-2</v>
      </c>
      <c r="DI32" s="16" cm="1">
        <f t="array" aca="1" ref="DI32" ca="1">MAX(_xlfn._xlws.FILTER(CT32:DG32,CT32:DG32&lt;BR32))</f>
        <v>-2.0979020979020962E-3</v>
      </c>
      <c r="DJ32" s="16" cm="1">
        <f t="array" aca="1" ref="DJ32" ca="1">MIN(_xlfn._xlws.FILTER(CT32:DG32,CT32:DG32&gt;BR32))</f>
        <v>2.0979020979020962E-3</v>
      </c>
      <c r="DK32" s="2" cm="1">
        <f t="array" aca="1" ref="DK32" ca="1">_FV(EC32,"Fechamento anterior",TRUE)</f>
        <v>1.17</v>
      </c>
      <c r="DL32" s="28">
        <f t="shared" ca="1" si="15"/>
        <v>0.5</v>
      </c>
      <c r="DM32" s="15">
        <f t="shared" ca="1" si="78"/>
        <v>1.1675454545454544</v>
      </c>
      <c r="DN32" s="15">
        <f t="shared" ca="1" si="79"/>
        <v>1.1724545454545454</v>
      </c>
      <c r="DO32" s="9"/>
      <c r="DP32" s="9"/>
      <c r="DQ32" s="9"/>
      <c r="DR32" s="89">
        <v>1.4627285513361458E-2</v>
      </c>
      <c r="DS32" s="89">
        <v>3.9613081529249186E-3</v>
      </c>
      <c r="DT32" s="89">
        <v>4.1958041958041923E-3</v>
      </c>
      <c r="DU32" s="89">
        <v>4.1958041958041923E-3</v>
      </c>
      <c r="DV32" s="89">
        <f t="shared" ca="1" si="18"/>
        <v>4.1958041958041923E-3</v>
      </c>
      <c r="DW32" s="72">
        <f t="shared" ca="1" si="19"/>
        <v>-0.63900089800480231</v>
      </c>
      <c r="DX32" s="37"/>
      <c r="DY32" s="35">
        <f t="shared" si="39"/>
        <v>2.034425935955619E-2</v>
      </c>
      <c r="DZ32" s="56"/>
      <c r="EA32" s="56"/>
      <c r="EC32" s="2" t="e" vm="32">
        <v>#VALUE!</v>
      </c>
      <c r="EE32" s="10" cm="1">
        <f t="array" aca="1" ref="EE32" ca="1">_FV(EC32,"Ações em circulação",TRUE)</f>
        <v>11900000</v>
      </c>
      <c r="EF32" s="18">
        <f>VLOOKUP(BM32,Fundamentus!A:U,5,FALSE)</f>
        <v>0.48199999999999998</v>
      </c>
      <c r="EG32" s="2">
        <f t="shared" ca="1" si="20"/>
        <v>28885892.116182573</v>
      </c>
      <c r="EH32" s="17">
        <v>1886248.7551867219</v>
      </c>
      <c r="EI32" s="17">
        <f t="shared" ca="1" si="21"/>
        <v>1886248.7551867219</v>
      </c>
      <c r="EK32" s="16">
        <f t="shared" ca="1" si="22"/>
        <v>0</v>
      </c>
      <c r="EL32" s="32" t="str">
        <f>IF(VLOOKUP(BM32,Fundamentus!A:U,3,FALSE)&lt;15,"Bom",IF(VLOOKUP(BM32,Fundamentus!A:U,3,FALSE)&gt;15,"Ruim","n/a"))</f>
        <v>Bom</v>
      </c>
      <c r="EM32" s="28" t="str">
        <f>IF(VLOOKUP(BM32,Fundamentus!A:U,4,FALSE)&lt;1,"Baixo",IF(VLOOKUP(BM32,Fundamentus!A:U,4,FALSE)&lt;1.5,"Moderado",IF(VLOOKUP(BM32,Fundamentus!A:U,4,FALSE)&gt;1.5,"Alto","n/a")))</f>
        <v>Baixo</v>
      </c>
      <c r="EN32" s="17" t="str">
        <f>IF(VLOOKUP(BM32,Fundamentus!A:U,8,FALSE)&lt;0,"Risco elevado",IF(VLOOKUP(BM32,Fundamentus!A:U,8,FALSE)&lt;1,"Saudável",IF(VLOOKUP(BM32,Fundamentus!A:U,8,FALSE)&lt;3,"Estável",IF(VLOOKUP(BM32,Fundamentus!A:U,8,FALSE)&gt;3,"Alerta","n/a"))))</f>
        <v>Saudável</v>
      </c>
      <c r="EO32" s="28" t="str">
        <f t="shared" si="23"/>
        <v>Ruim</v>
      </c>
      <c r="EP32" s="17" t="str">
        <f>IF(VLOOKUP(BM32,Fundamentus!A:U,12,FALSE)&lt;2,"Subvalorizada",IF(VLOOKUP(BM32,Fundamentus!A:U,12,FALSE)&lt;6,"Muita barata",IF(VLOOKUP(BM32,Fundamentus!A:U,12,FALSE)&lt;6,"Barata",IF(VLOOKUP(BM32,Fundamentus!A:U,12,FALSE)&lt;8,"Atrativa",IF(VLOOKUP(BM32,Fundamentus!A:U,12,FALSE)&gt;8,"Supervalorizada","n/a")))))</f>
        <v>Supervalorizada</v>
      </c>
      <c r="ER32" s="17" t="str">
        <f>IF(VLOOKUP(BM32,Fundamentus!A:U,17,FALSE)&lt;0.1,"Fraco retorno",IF(VLOOKUP(BM32,Fundamentus!A:U,17,FALSE)&gt;0.1,"Bom retorno","n/a"))</f>
        <v>Fraco retorno</v>
      </c>
      <c r="ES32" s="17" t="str">
        <f>IF(VLOOKUP(BM32,Fundamentus!A:U,16,FALSE)&lt;0.1,"Ineficiente",IF(VLOOKUP(BM32,Fundamentus!A:U,16,FALSE)&gt;0.1,"Eficiente","n/a"))</f>
        <v>Ineficiente</v>
      </c>
      <c r="ET32" s="33" t="str">
        <f>IF(VLOOKUP(BM32,Fundamentus!A:U,16,FALSE)&lt;0.1,"Oper. Ineficiente",IF(VLOOKUP(BM32,Fundamentus!A:U,16,FALSE)&gt;0.1,"Oper.Eficiente","n/a"))</f>
        <v>Oper. Ineficiente</v>
      </c>
      <c r="EU32" s="34">
        <f>VLOOKUP(BM32,Fundamentus!A:U,14,FALSE)</f>
        <v>6.5299999999999997E-2</v>
      </c>
      <c r="EV32" s="17" t="str">
        <f>IF(VLOOKUP(BM32,Fundamentus!A:U,21,FALSE)&lt;0,"Negativo",IF(VLOOKUP(BM32,Fundamentus!A:U,21,FALSE)&lt;0.05,"Fraco",IF(VLOOKUP(BM32,Fundamentus!A:U,21,FALSE)&lt;0.1,"Bom",IF(VLOOKUP(BM32,Fundamentus!A:U,21,FALSE)&gt;0.1,"Muito bom","n/a"))))</f>
        <v>Negativo</v>
      </c>
      <c r="EX32" s="29" t="str">
        <f>IF(VLOOKUP(BM32,Fundamentus!A:U,15,FALSE)&gt;1,"Bom",IF(VLOOKUP(BM32,Fundamentus!A:U,15,FALSE)&lt;1,"Ruim","n/a"))</f>
        <v>Bom</v>
      </c>
      <c r="EY32" s="17" t="str">
        <f>IF(VLOOKUP(BM32,Fundamentus!A:U,20,FALSE)&lt;0.5,"Baixa",IF(VLOOKUP(BM32,Fundamentus!A:U,20,FALSE)&lt;1,"Moderada",IF(VLOOKUP(BM32,Fundamentus!A:U,20,FALSE)&lt;2,"Alerta",IF(VLOOKUP(BM32,Fundamentus!A:U,20,FALSE)&gt;2,"Alta","n/a"))))</f>
        <v>Baixa</v>
      </c>
    </row>
    <row r="33" spans="1:155" s="2" customFormat="1" ht="11.25" x14ac:dyDescent="0.2">
      <c r="A33" s="4">
        <v>14</v>
      </c>
      <c r="B33" s="4">
        <v>13.48</v>
      </c>
      <c r="C33" s="4">
        <v>13.07</v>
      </c>
      <c r="D33" s="4">
        <v>13.22</v>
      </c>
      <c r="E33" s="4">
        <v>13.11</v>
      </c>
      <c r="F33" s="4">
        <v>12.88</v>
      </c>
      <c r="G33" s="4">
        <v>12.81</v>
      </c>
      <c r="H33" s="4">
        <v>13.06</v>
      </c>
      <c r="I33" s="4">
        <v>13.05</v>
      </c>
      <c r="J33" s="4">
        <v>12.88</v>
      </c>
      <c r="K33" s="4">
        <v>13.48</v>
      </c>
      <c r="L33" s="4">
        <v>13.74</v>
      </c>
      <c r="M33" s="4">
        <v>13.39</v>
      </c>
      <c r="N33" s="4">
        <v>13.42</v>
      </c>
      <c r="O33" s="4">
        <v>13.61</v>
      </c>
      <c r="P33" s="4">
        <v>14.28</v>
      </c>
      <c r="Q33" s="4">
        <v>14.85</v>
      </c>
      <c r="R33" s="4">
        <v>14.94</v>
      </c>
      <c r="S33" s="4">
        <v>14.87</v>
      </c>
      <c r="T33" s="4">
        <v>14.67</v>
      </c>
      <c r="U33" s="4">
        <v>14.12</v>
      </c>
      <c r="V33" s="4">
        <v>13.76</v>
      </c>
      <c r="W33" s="4">
        <v>13.64</v>
      </c>
      <c r="X33" s="4">
        <v>13.65</v>
      </c>
      <c r="Y33" s="4">
        <v>13.43</v>
      </c>
      <c r="Z33" s="4">
        <v>13.63</v>
      </c>
      <c r="AA33" s="4">
        <v>12.8</v>
      </c>
      <c r="AB33" s="4">
        <v>12.65</v>
      </c>
      <c r="AC33" s="4">
        <v>12.2</v>
      </c>
      <c r="AD33" s="4">
        <v>12.43</v>
      </c>
      <c r="AE33" s="4">
        <v>11.89</v>
      </c>
      <c r="AF33" s="4">
        <v>12.05</v>
      </c>
      <c r="AG33" s="4">
        <v>11.56</v>
      </c>
      <c r="AH33" s="4">
        <v>11.29</v>
      </c>
      <c r="AI33" s="4">
        <v>11.2</v>
      </c>
      <c r="AJ33" s="4">
        <v>11.11</v>
      </c>
      <c r="AK33" s="4">
        <v>11.32</v>
      </c>
      <c r="AL33" s="4">
        <v>11.82</v>
      </c>
      <c r="AM33" s="4">
        <v>11.75</v>
      </c>
      <c r="AN33" s="4">
        <v>12.39</v>
      </c>
      <c r="AO33" s="4">
        <v>12.51</v>
      </c>
      <c r="AP33" s="4">
        <v>12.59</v>
      </c>
      <c r="AQ33" s="4">
        <v>12.52</v>
      </c>
      <c r="AR33" s="4">
        <v>11.95</v>
      </c>
      <c r="AS33" s="4">
        <v>12.25</v>
      </c>
      <c r="AT33" s="4">
        <v>12.5</v>
      </c>
      <c r="AU33" s="4">
        <v>12.654999999999999</v>
      </c>
      <c r="AV33" s="4">
        <v>13.02</v>
      </c>
      <c r="AW33" s="4">
        <v>12.49</v>
      </c>
      <c r="AX33" s="4">
        <v>12.47</v>
      </c>
      <c r="AY33" s="12">
        <v>12.8</v>
      </c>
      <c r="AZ33" s="12">
        <v>13.26</v>
      </c>
      <c r="BA33" s="12">
        <v>14.09</v>
      </c>
      <c r="BB33" s="15">
        <v>14.2</v>
      </c>
      <c r="BC33" s="52">
        <v>14.47</v>
      </c>
      <c r="BD33" s="52">
        <v>14.22</v>
      </c>
      <c r="BE33" s="52">
        <v>14.07</v>
      </c>
      <c r="BF33" s="52">
        <v>13.55</v>
      </c>
      <c r="BG33" s="67">
        <v>14.13</v>
      </c>
      <c r="BH33" s="52">
        <v>13.99</v>
      </c>
      <c r="BI33" s="52">
        <v>13.79</v>
      </c>
      <c r="BJ33" s="52">
        <v>13.92</v>
      </c>
      <c r="BK33" s="52">
        <v>13.3</v>
      </c>
      <c r="BL33" s="52" cm="1">
        <f t="array" aca="1" ref="BL33" ca="1">_FV(EC33,"Preço")</f>
        <v>13.3</v>
      </c>
      <c r="BM33" s="69" t="s">
        <v>30</v>
      </c>
      <c r="BN33" s="36" cm="1">
        <f t="array" aca="1" ref="BN33" ca="1">_FV(EC33,"Média de volume",TRUE)</f>
        <v>56480</v>
      </c>
      <c r="BO33" s="36">
        <v>94600</v>
      </c>
      <c r="BP33" s="36" cm="1">
        <f t="array" aca="1" ref="BP33" ca="1">_FV(EC33,"Volume")</f>
        <v>94600</v>
      </c>
      <c r="BQ33" s="24" cm="1">
        <f t="array" aca="1" ref="BQ33" ca="1">_FV(EC33,"Beta")</f>
        <v>1.1022000000000001</v>
      </c>
      <c r="BR33" s="71" cm="1">
        <f t="array" aca="1" ref="BR33" ca="1">_FV(EC33,"Variação (%)",TRUE)</f>
        <v>-6.7210000000000004E-3</v>
      </c>
      <c r="BT33" s="17" cm="1">
        <f t="array" aca="1" ref="BT33" ca="1">_FV(EC33,"Baixo")</f>
        <v>13.13</v>
      </c>
      <c r="BU33" s="17" cm="1">
        <f t="array" aca="1" ref="BU33" ca="1">_FV(EC33,"Alto")</f>
        <v>13.44</v>
      </c>
      <c r="BV33" s="24"/>
      <c r="BW33" s="63">
        <f ca="1">SQRT(22.5*(BL33/VLOOKUP(BM33,Fundamentus!A:U,3,FALSE))*(BL33/VLOOKUP(BM33,Fundamentus!A:U,4,FALSE)))</f>
        <v>20.997673516859866</v>
      </c>
      <c r="BY33" s="62">
        <f t="shared" ca="1" si="24"/>
        <v>0</v>
      </c>
      <c r="BZ33" s="8"/>
      <c r="CA33" s="61">
        <f t="shared" si="25"/>
        <v>11.11</v>
      </c>
      <c r="CB33" s="61">
        <f t="shared" si="26"/>
        <v>14.94</v>
      </c>
      <c r="CC33" s="61">
        <f t="shared" si="27"/>
        <v>13.115</v>
      </c>
      <c r="CD33" s="14"/>
      <c r="CE33" s="35">
        <f t="shared" si="1"/>
        <v>13.093476393110492</v>
      </c>
      <c r="CF33" s="15">
        <f t="shared" si="28"/>
        <v>13.65300000000002</v>
      </c>
      <c r="CG33" s="35">
        <f t="shared" si="2"/>
        <v>14.212523606889548</v>
      </c>
      <c r="CI33" s="14"/>
      <c r="CJ33" s="17">
        <f t="shared" si="3"/>
        <v>7.8766666666666652</v>
      </c>
      <c r="CK33" s="17">
        <f t="shared" si="4"/>
        <v>9.4933333333333323</v>
      </c>
      <c r="CL33" s="17">
        <f t="shared" si="5"/>
        <v>11.706666666666665</v>
      </c>
      <c r="CM33" s="38">
        <f t="shared" si="29"/>
        <v>13.323333333333332</v>
      </c>
      <c r="CN33" s="17">
        <f t="shared" si="6"/>
        <v>15.536666666666665</v>
      </c>
      <c r="CO33" s="17">
        <f t="shared" si="7"/>
        <v>17.153333333333332</v>
      </c>
      <c r="CP33" s="17">
        <f t="shared" si="8"/>
        <v>19.366666666666667</v>
      </c>
      <c r="CQ33" s="2" cm="1">
        <f t="array" aca="1" ref="CQ33" ca="1">MAX(_xlfn._xlws.FILTER(CJ33:CP33,CJ33:CP33&lt;BL33))</f>
        <v>11.706666666666665</v>
      </c>
      <c r="CR33" s="2" cm="1">
        <f t="array" aca="1" ref="CR33" ca="1">MIN(_xlfn._xlws.FILTER($CJ33:$CP33,$CJ33:$CP33&gt;BL33))</f>
        <v>13.323333333333332</v>
      </c>
      <c r="CS33" s="16">
        <f t="shared" ca="1" si="63"/>
        <v>0.1380979498861048</v>
      </c>
      <c r="CT33" s="20">
        <f t="shared" ca="1" si="64"/>
        <v>-6.9048974943052399E-2</v>
      </c>
      <c r="CU33" s="20">
        <f t="shared" ca="1" si="65"/>
        <v>-4.6032649962034933E-2</v>
      </c>
      <c r="CV33" s="20">
        <f t="shared" ca="1" si="66"/>
        <v>-2.761958997722096E-2</v>
      </c>
      <c r="CW33" s="20">
        <f t="shared" ca="1" si="67"/>
        <v>-1.5344216654011644E-2</v>
      </c>
      <c r="CX33" s="20">
        <f t="shared" ca="1" si="68"/>
        <v>-8.1234088168296945E-3</v>
      </c>
      <c r="CY33" s="20">
        <f t="shared" ca="1" si="69"/>
        <v>-4.184786360184994E-3</v>
      </c>
      <c r="CZ33" s="20">
        <f t="shared" ca="1" si="70"/>
        <v>-2.1245838444016122E-3</v>
      </c>
      <c r="DA33" s="21">
        <f t="shared" ca="1" si="71"/>
        <v>2.1245838444016122E-3</v>
      </c>
      <c r="DB33" s="21">
        <f t="shared" ca="1" si="72"/>
        <v>4.184786360184994E-3</v>
      </c>
      <c r="DC33" s="21">
        <f t="shared" ca="1" si="73"/>
        <v>8.1234088168296945E-3</v>
      </c>
      <c r="DD33" s="21">
        <f t="shared" ca="1" si="74"/>
        <v>1.5344216654011644E-2</v>
      </c>
      <c r="DE33" s="21">
        <f t="shared" ca="1" si="75"/>
        <v>2.761958997722096E-2</v>
      </c>
      <c r="DF33" s="21">
        <f t="shared" ca="1" si="76"/>
        <v>4.6032649962034933E-2</v>
      </c>
      <c r="DG33" s="21">
        <f t="shared" ca="1" si="77"/>
        <v>6.9048974943052399E-2</v>
      </c>
      <c r="DI33" s="16" cm="1">
        <f t="array" aca="1" ref="DI33" ca="1">MAX(_xlfn._xlws.FILTER(CT33:DG33,CT33:DG33&lt;BR33))</f>
        <v>-8.1234088168296945E-3</v>
      </c>
      <c r="DJ33" s="16" cm="1">
        <f t="array" aca="1" ref="DJ33" ca="1">MIN(_xlfn._xlws.FILTER(CT33:DG33,CT33:DG33&gt;BR33))</f>
        <v>-4.184786360184994E-3</v>
      </c>
      <c r="DK33" s="2" cm="1">
        <f t="array" aca="1" ref="DK33" ca="1">_FV(EC33,"Fechamento anterior",TRUE)</f>
        <v>13.39</v>
      </c>
      <c r="DL33" s="28">
        <f t="shared" ca="1" si="15"/>
        <v>0.3559556485452276</v>
      </c>
      <c r="DM33" s="15">
        <f t="shared" ca="1" si="78"/>
        <v>13.281227555942651</v>
      </c>
      <c r="DN33" s="15">
        <f t="shared" ca="1" si="79"/>
        <v>13.333965710637123</v>
      </c>
      <c r="DO33" s="9"/>
      <c r="DP33" s="9"/>
      <c r="DQ33" s="9"/>
      <c r="DR33" s="89">
        <v>2.5031647503557619E-3</v>
      </c>
      <c r="DS33" s="89">
        <v>2.5433335537865145E-3</v>
      </c>
      <c r="DT33" s="89">
        <v>5.1115259521564279E-3</v>
      </c>
      <c r="DU33" s="89">
        <v>3.9386224566447005E-3</v>
      </c>
      <c r="DV33" s="89">
        <f t="shared" ca="1" si="18"/>
        <v>3.9386224566447005E-3</v>
      </c>
      <c r="DW33" s="72">
        <f t="shared" ca="1" si="19"/>
        <v>-0.63089384550260041</v>
      </c>
      <c r="DX33" s="37"/>
      <c r="DY33" s="35">
        <f t="shared" si="39"/>
        <v>0.2797618034447637</v>
      </c>
      <c r="DZ33" s="56"/>
      <c r="EA33" s="56"/>
      <c r="EC33" s="2" t="e" vm="33">
        <v>#VALUE!</v>
      </c>
      <c r="EE33" s="10" cm="1">
        <f t="array" aca="1" ref="EE33" ca="1">_FV(EC33,"Ações em circulação",TRUE)</f>
        <v>3749266000</v>
      </c>
      <c r="EF33" s="18">
        <f>VLOOKUP(BM33,Fundamentus!A:U,5,FALSE)</f>
        <v>0</v>
      </c>
      <c r="EG33" s="2" t="e">
        <f t="shared" ca="1" si="20"/>
        <v>#DIV/0!</v>
      </c>
      <c r="EH33" s="17" t="e">
        <v>#DIV/0!</v>
      </c>
      <c r="EI33" s="17" t="e">
        <f t="shared" ca="1" si="21"/>
        <v>#DIV/0!</v>
      </c>
      <c r="EK33" s="16" t="e">
        <f t="shared" ca="1" si="22"/>
        <v>#DIV/0!</v>
      </c>
      <c r="EL33" s="32" t="str">
        <f>IF(VLOOKUP(BM33,Fundamentus!A:U,3,FALSE)&lt;15,"Bom",IF(VLOOKUP(BM33,Fundamentus!A:U,3,FALSE)&gt;15,"Ruim","n/a"))</f>
        <v>Bom</v>
      </c>
      <c r="EM33" s="28" t="str">
        <f>IF(VLOOKUP(BM33,Fundamentus!A:U,4,FALSE)&lt;1,"Baixo",IF(VLOOKUP(BM33,Fundamentus!A:U,4,FALSE)&lt;1.5,"Moderado",IF(VLOOKUP(BM33,Fundamentus!A:U,4,FALSE)&gt;1.5,"Alto","n/a")))</f>
        <v>Moderado</v>
      </c>
      <c r="EN33" s="17" t="str">
        <f>IF(VLOOKUP(BM33,Fundamentus!A:U,8,FALSE)&lt;0,"Risco elevado",IF(VLOOKUP(BM33,Fundamentus!A:U,8,FALSE)&lt;1,"Saudável",IF(VLOOKUP(BM33,Fundamentus!A:U,8,FALSE)&lt;3,"Estável",IF(VLOOKUP(BM33,Fundamentus!A:U,8,FALSE)&gt;3,"Alerta","n/a"))))</f>
        <v>Saudável</v>
      </c>
      <c r="EO33" s="28" t="str">
        <f t="shared" si="23"/>
        <v>Ruim</v>
      </c>
      <c r="EP33" s="17" t="str">
        <f>IF(VLOOKUP(BM33,Fundamentus!A:U,12,FALSE)&lt;2,"Subvalorizada",IF(VLOOKUP(BM33,Fundamentus!A:U,12,FALSE)&lt;6,"Muita barata",IF(VLOOKUP(BM33,Fundamentus!A:U,12,FALSE)&lt;6,"Barata",IF(VLOOKUP(BM33,Fundamentus!A:U,12,FALSE)&lt;8,"Atrativa",IF(VLOOKUP(BM33,Fundamentus!A:U,12,FALSE)&gt;8,"Supervalorizada","n/a")))))</f>
        <v>Subvalorizada</v>
      </c>
      <c r="ER33" s="17" t="str">
        <f>IF(VLOOKUP(BM33,Fundamentus!A:U,17,FALSE)&lt;0.1,"Fraco retorno",IF(VLOOKUP(BM33,Fundamentus!A:U,17,FALSE)&gt;0.1,"Bom retorno","n/a"))</f>
        <v>Bom retorno</v>
      </c>
      <c r="ES33" s="17" t="str">
        <f>IF(VLOOKUP(BM33,Fundamentus!A:U,16,FALSE)&lt;0.1,"Ineficiente",IF(VLOOKUP(BM33,Fundamentus!A:U,16,FALSE)&gt;0.1,"Eficiente","n/a"))</f>
        <v>Ineficiente</v>
      </c>
      <c r="ET33" s="33" t="str">
        <f>IF(VLOOKUP(BM33,Fundamentus!A:U,16,FALSE)&lt;0.1,"Oper. Ineficiente",IF(VLOOKUP(BM33,Fundamentus!A:U,16,FALSE)&gt;0.1,"Oper.Eficiente","n/a"))</f>
        <v>Oper. Ineficiente</v>
      </c>
      <c r="EU33" s="34">
        <f>VLOOKUP(BM33,Fundamentus!A:U,14,FALSE)</f>
        <v>0</v>
      </c>
      <c r="EV33" s="17" t="str">
        <f>IF(VLOOKUP(BM33,Fundamentus!A:U,21,FALSE)&lt;0,"Negativo",IF(VLOOKUP(BM33,Fundamentus!A:U,21,FALSE)&lt;0.05,"Fraco",IF(VLOOKUP(BM33,Fundamentus!A:U,21,FALSE)&lt;0.1,"Bom",IF(VLOOKUP(BM33,Fundamentus!A:U,21,FALSE)&gt;0.1,"Muito bom","n/a"))))</f>
        <v>Negativo</v>
      </c>
      <c r="EX33" s="29" t="str">
        <f>IF(VLOOKUP(BM33,Fundamentus!A:U,15,FALSE)&gt;1,"Bom",IF(VLOOKUP(BM33,Fundamentus!A:U,15,FALSE)&lt;1,"Ruim","n/a"))</f>
        <v>Ruim</v>
      </c>
      <c r="EY33" s="17" t="str">
        <f>IF(VLOOKUP(BM33,Fundamentus!A:U,20,FALSE)&lt;0.5,"Baixa",IF(VLOOKUP(BM33,Fundamentus!A:U,20,FALSE)&lt;1,"Moderada",IF(VLOOKUP(BM33,Fundamentus!A:U,20,FALSE)&lt;2,"Alerta",IF(VLOOKUP(BM33,Fundamentus!A:U,20,FALSE)&gt;2,"Alta","n/a"))))</f>
        <v>Baixa</v>
      </c>
    </row>
    <row r="34" spans="1:155" s="5" customFormat="1" ht="11.25" x14ac:dyDescent="0.2">
      <c r="A34" s="4">
        <v>18.41</v>
      </c>
      <c r="B34" s="4">
        <v>18.5</v>
      </c>
      <c r="C34" s="4">
        <v>18.8</v>
      </c>
      <c r="D34" s="4">
        <v>19.04</v>
      </c>
      <c r="E34" s="4">
        <v>18.38</v>
      </c>
      <c r="F34" s="4">
        <v>18.16</v>
      </c>
      <c r="G34" s="4">
        <v>18.670000000000002</v>
      </c>
      <c r="H34" s="4">
        <v>17.989999999999998</v>
      </c>
      <c r="I34" s="4">
        <v>18.61</v>
      </c>
      <c r="J34" s="4">
        <v>19.5</v>
      </c>
      <c r="K34" s="4">
        <v>19.97</v>
      </c>
      <c r="L34" s="4">
        <v>20.18</v>
      </c>
      <c r="M34" s="4">
        <v>19.399999999999999</v>
      </c>
      <c r="N34" s="4">
        <v>19.7</v>
      </c>
      <c r="O34" s="4">
        <v>18.8</v>
      </c>
      <c r="P34" s="4">
        <v>18.63</v>
      </c>
      <c r="Q34" s="4">
        <v>18.8</v>
      </c>
      <c r="R34" s="4">
        <v>19.25</v>
      </c>
      <c r="S34" s="4">
        <v>18.149999999999999</v>
      </c>
      <c r="T34" s="4">
        <v>18.100000000000001</v>
      </c>
      <c r="U34" s="4">
        <v>17.739999999999998</v>
      </c>
      <c r="V34" s="4">
        <v>18.100000000000001</v>
      </c>
      <c r="W34" s="4">
        <v>17.3</v>
      </c>
      <c r="X34" s="4">
        <v>16.98</v>
      </c>
      <c r="Y34" s="4">
        <v>16.8</v>
      </c>
      <c r="Z34" s="4">
        <v>17.100000000000001</v>
      </c>
      <c r="AA34" s="4">
        <v>17.23</v>
      </c>
      <c r="AB34" s="4">
        <v>15.93</v>
      </c>
      <c r="AC34" s="4">
        <v>15.9</v>
      </c>
      <c r="AD34" s="4">
        <v>15.62</v>
      </c>
      <c r="AE34" s="4">
        <v>15.97</v>
      </c>
      <c r="AF34" s="4">
        <v>15.03</v>
      </c>
      <c r="AG34" s="4">
        <v>14.4</v>
      </c>
      <c r="AH34" s="4">
        <v>14.85</v>
      </c>
      <c r="AI34" s="4">
        <v>15.41</v>
      </c>
      <c r="AJ34" s="4">
        <v>15.08</v>
      </c>
      <c r="AK34" s="4">
        <v>15.6</v>
      </c>
      <c r="AL34" s="4">
        <v>16.28</v>
      </c>
      <c r="AM34" s="4">
        <v>16.18</v>
      </c>
      <c r="AN34" s="4">
        <v>16</v>
      </c>
      <c r="AO34" s="4">
        <v>16.149999999999999</v>
      </c>
      <c r="AP34" s="4">
        <v>17.11</v>
      </c>
      <c r="AQ34" s="4">
        <v>16.940000000000001</v>
      </c>
      <c r="AR34" s="4">
        <v>16.75</v>
      </c>
      <c r="AS34" s="4">
        <v>16.27</v>
      </c>
      <c r="AT34" s="4">
        <v>16.399999999999999</v>
      </c>
      <c r="AU34" s="4">
        <v>16.504999999999999</v>
      </c>
      <c r="AV34" s="4">
        <v>16.73</v>
      </c>
      <c r="AW34" s="4">
        <v>16.75</v>
      </c>
      <c r="AX34" s="4">
        <v>16.690000000000001</v>
      </c>
      <c r="AY34" s="12">
        <v>16.45</v>
      </c>
      <c r="AZ34" s="12">
        <v>16.46</v>
      </c>
      <c r="BA34" s="12">
        <v>17.170000000000002</v>
      </c>
      <c r="BB34" s="15">
        <v>17.329999999999998</v>
      </c>
      <c r="BC34" s="52">
        <v>18.02</v>
      </c>
      <c r="BD34" s="52">
        <v>17.97</v>
      </c>
      <c r="BE34" s="52">
        <v>18.100000000000001</v>
      </c>
      <c r="BF34" s="52">
        <v>18.190000000000001</v>
      </c>
      <c r="BG34" s="67">
        <v>17.850000000000001</v>
      </c>
      <c r="BH34" s="52">
        <v>18.239999999999998</v>
      </c>
      <c r="BI34" s="52">
        <v>18.34</v>
      </c>
      <c r="BJ34" s="52">
        <v>18.579999999999998</v>
      </c>
      <c r="BK34" s="52">
        <v>18.39</v>
      </c>
      <c r="BL34" s="52" cm="1">
        <f t="array" aca="1" ref="BL34" ca="1">_FV(EC34,"Preço")</f>
        <v>18.39</v>
      </c>
      <c r="BM34" s="69" t="s">
        <v>31</v>
      </c>
      <c r="BN34" s="36" cm="1">
        <f t="array" aca="1" ref="BN34" ca="1">_FV(EC34,"Média de volume",TRUE)</f>
        <v>38980</v>
      </c>
      <c r="BO34" s="36">
        <v>17400</v>
      </c>
      <c r="BP34" s="36" cm="1">
        <f t="array" aca="1" ref="BP34" ca="1">_FV(EC34,"Volume")</f>
        <v>17400</v>
      </c>
      <c r="BQ34" s="24" cm="1">
        <f t="array" aca="1" ref="BQ34" ca="1">_FV(EC34,"Beta")</f>
        <v>0.91449999999999998</v>
      </c>
      <c r="BR34" s="71" cm="1">
        <f t="array" aca="1" ref="BR34" ca="1">_FV(EC34,"Variação (%)",TRUE)</f>
        <v>-1.1821999999999999E-2</v>
      </c>
      <c r="BT34" s="17" cm="1">
        <f t="array" aca="1" ref="BT34" ca="1">_FV(EC34,"Baixo")</f>
        <v>18.39</v>
      </c>
      <c r="BU34" s="17" cm="1">
        <f t="array" aca="1" ref="BU34" ca="1">_FV(EC34,"Alto")</f>
        <v>18.850000000000001</v>
      </c>
      <c r="BV34" s="24"/>
      <c r="BW34" s="63">
        <f ca="1">SQRT(22.5*(BL34/VLOOKUP(BM34,Fundamentus!A:U,3,FALSE))*(BL34/VLOOKUP(BM34,Fundamentus!A:U,4,FALSE)))</f>
        <v>24.835533084345428</v>
      </c>
      <c r="BY34" s="62">
        <f t="shared" ca="1" si="24"/>
        <v>0</v>
      </c>
      <c r="BZ34" s="8"/>
      <c r="CA34" s="61">
        <f t="shared" si="25"/>
        <v>14.4</v>
      </c>
      <c r="CB34" s="61">
        <f t="shared" si="26"/>
        <v>20.18</v>
      </c>
      <c r="CC34" s="61">
        <f t="shared" si="27"/>
        <v>17.427380952380954</v>
      </c>
      <c r="CD34" s="14"/>
      <c r="CE34" s="35">
        <f t="shared" si="1"/>
        <v>17.975569714288977</v>
      </c>
      <c r="CF34" s="15">
        <f t="shared" si="28"/>
        <v>18.421999999999969</v>
      </c>
      <c r="CG34" s="35">
        <f t="shared" si="2"/>
        <v>18.868430285710961</v>
      </c>
      <c r="CI34" s="14"/>
      <c r="CJ34" s="17">
        <f t="shared" si="3"/>
        <v>9.4799999999999986</v>
      </c>
      <c r="CK34" s="17">
        <f t="shared" si="4"/>
        <v>11.94</v>
      </c>
      <c r="CL34" s="17">
        <f t="shared" si="5"/>
        <v>15.259999999999998</v>
      </c>
      <c r="CM34" s="38">
        <f t="shared" si="29"/>
        <v>17.72</v>
      </c>
      <c r="CN34" s="17">
        <f t="shared" si="6"/>
        <v>21.04</v>
      </c>
      <c r="CO34" s="17">
        <f t="shared" si="7"/>
        <v>23.5</v>
      </c>
      <c r="CP34" s="17">
        <f t="shared" si="8"/>
        <v>26.819999999999997</v>
      </c>
      <c r="CQ34" s="2" cm="1">
        <f t="array" aca="1" ref="CQ34" ca="1">MAX(_xlfn._xlws.FILTER(CJ34:CP34,CJ34:CP34&lt;BL34))</f>
        <v>17.72</v>
      </c>
      <c r="CR34" s="2" cm="1">
        <f t="array" aca="1" ref="CR34" ca="1">MIN(_xlfn._xlws.FILTER($CJ34:$CP34,$CJ34:$CP34&gt;BL34))</f>
        <v>21.04</v>
      </c>
      <c r="CS34" s="16">
        <f t="shared" ca="1" si="63"/>
        <v>0.1873589164785554</v>
      </c>
      <c r="CT34" s="20">
        <f t="shared" ca="1" si="64"/>
        <v>-9.3679458239277702E-2</v>
      </c>
      <c r="CU34" s="20">
        <f t="shared" ca="1" si="65"/>
        <v>-6.245297215951847E-2</v>
      </c>
      <c r="CV34" s="20">
        <f t="shared" ca="1" si="66"/>
        <v>-3.7471783295711082E-2</v>
      </c>
      <c r="CW34" s="20">
        <f t="shared" ca="1" si="67"/>
        <v>-2.0817657386506157E-2</v>
      </c>
      <c r="CX34" s="20">
        <f t="shared" ca="1" si="68"/>
        <v>-1.1021112734032671E-2</v>
      </c>
      <c r="CY34" s="20">
        <f t="shared" ca="1" si="69"/>
        <v>-5.6775429235925877E-3</v>
      </c>
      <c r="CZ34" s="20">
        <f t="shared" ca="1" si="70"/>
        <v>-2.8824448689008524E-3</v>
      </c>
      <c r="DA34" s="21">
        <f t="shared" ca="1" si="71"/>
        <v>2.8824448689008524E-3</v>
      </c>
      <c r="DB34" s="21">
        <f t="shared" ca="1" si="72"/>
        <v>5.6775429235925877E-3</v>
      </c>
      <c r="DC34" s="21">
        <f t="shared" ca="1" si="73"/>
        <v>1.1021112734032671E-2</v>
      </c>
      <c r="DD34" s="21">
        <f t="shared" ca="1" si="74"/>
        <v>2.0817657386506157E-2</v>
      </c>
      <c r="DE34" s="21">
        <f t="shared" ca="1" si="75"/>
        <v>3.7471783295711082E-2</v>
      </c>
      <c r="DF34" s="21">
        <f t="shared" ca="1" si="76"/>
        <v>6.245297215951847E-2</v>
      </c>
      <c r="DG34" s="21">
        <f t="shared" ca="1" si="77"/>
        <v>9.3679458239277702E-2</v>
      </c>
      <c r="DI34" s="16" cm="1">
        <f t="array" aca="1" ref="DI34" ca="1">MAX(_xlfn._xlws.FILTER(CT34:DG34,CT34:DG34&lt;BR34))</f>
        <v>-2.0817657386506157E-2</v>
      </c>
      <c r="DJ34" s="16" cm="1">
        <f t="array" aca="1" ref="DJ34" ca="1">MIN(_xlfn._xlws.FILTER(CT34:DG34,CT34:DG34&gt;BR34))</f>
        <v>-1.1021112734032671E-2</v>
      </c>
      <c r="DK34" s="2" cm="1">
        <f t="array" aca="1" ref="DK34" ca="1">_FV(EC34,"Fechamento anterior",TRUE)</f>
        <v>18.61</v>
      </c>
      <c r="DL34" s="28">
        <f t="shared" ca="1" si="15"/>
        <v>0.91828868402141817</v>
      </c>
      <c r="DM34" s="15">
        <f t="shared" ca="1" si="78"/>
        <v>18.22258339603712</v>
      </c>
      <c r="DN34" s="15">
        <f t="shared" ca="1" si="79"/>
        <v>18.404897092019652</v>
      </c>
      <c r="DO34" s="9"/>
      <c r="DP34" s="9"/>
      <c r="DQ34" s="9"/>
      <c r="DR34" s="89">
        <v>2.756204605610154E-3</v>
      </c>
      <c r="DS34" s="89">
        <v>1.5648377731154774E-2</v>
      </c>
      <c r="DT34" s="89">
        <v>5.3435698104400834E-3</v>
      </c>
      <c r="DU34" s="89">
        <v>9.7965446524734857E-3</v>
      </c>
      <c r="DV34" s="89">
        <f t="shared" ca="1" si="18"/>
        <v>9.7965446524734857E-3</v>
      </c>
      <c r="DW34" s="72">
        <f t="shared" ca="1" si="19"/>
        <v>-7.1679724750314228E-2</v>
      </c>
      <c r="DX34" s="37"/>
      <c r="DY34" s="35">
        <f t="shared" si="39"/>
        <v>0.22321514285549629</v>
      </c>
      <c r="DZ34" s="56"/>
      <c r="EA34" s="56"/>
      <c r="EC34" s="5" t="e" vm="34">
        <v>#VALUE!</v>
      </c>
      <c r="EE34" s="10" cm="1">
        <f t="array" aca="1" ref="EE34" ca="1">_FV(EC34,"Ações em circulação",TRUE)</f>
        <v>41800000</v>
      </c>
      <c r="EF34" s="18">
        <f>VLOOKUP(BM34,Fundamentus!A:U,5,FALSE)</f>
        <v>1.288</v>
      </c>
      <c r="EG34" s="2">
        <f t="shared" ca="1" si="20"/>
        <v>596818322.9813664</v>
      </c>
      <c r="EH34" s="17">
        <v>94177931.366459608</v>
      </c>
      <c r="EI34" s="17">
        <f t="shared" ca="1" si="21"/>
        <v>94177931.366459608</v>
      </c>
      <c r="EJ34" s="2"/>
      <c r="EK34" s="16">
        <f t="shared" ca="1" si="22"/>
        <v>0</v>
      </c>
      <c r="EL34" s="32" t="str">
        <f>IF(VLOOKUP(BM34,Fundamentus!A:U,3,FALSE)&lt;15,"Bom",IF(VLOOKUP(BM34,Fundamentus!A:U,3,FALSE)&gt;15,"Ruim","n/a"))</f>
        <v>Bom</v>
      </c>
      <c r="EM34" s="28" t="str">
        <f>IF(VLOOKUP(BM34,Fundamentus!A:U,4,FALSE)&lt;1,"Baixo",IF(VLOOKUP(BM34,Fundamentus!A:U,4,FALSE)&lt;1.5,"Moderado",IF(VLOOKUP(BM34,Fundamentus!A:U,4,FALSE)&gt;1.5,"Alto","n/a")))</f>
        <v>Alto</v>
      </c>
      <c r="EN34" s="17" t="str">
        <f>IF(VLOOKUP(BM34,Fundamentus!A:U,8,FALSE)&lt;0,"Risco elevado",IF(VLOOKUP(BM34,Fundamentus!A:U,8,FALSE)&lt;1,"Saudável",IF(VLOOKUP(BM34,Fundamentus!A:U,8,FALSE)&lt;3,"Estável",IF(VLOOKUP(BM34,Fundamentus!A:U,8,FALSE)&gt;3,"Alerta","n/a"))))</f>
        <v>Alerta</v>
      </c>
      <c r="EO34" s="28" t="str">
        <f t="shared" si="23"/>
        <v>Bom</v>
      </c>
      <c r="EP34" s="17" t="str">
        <f>IF(VLOOKUP(BM34,Fundamentus!A:U,12,FALSE)&lt;2,"Subvalorizada",IF(VLOOKUP(BM34,Fundamentus!A:U,12,FALSE)&lt;6,"Muita barata",IF(VLOOKUP(BM34,Fundamentus!A:U,12,FALSE)&lt;6,"Barata",IF(VLOOKUP(BM34,Fundamentus!A:U,12,FALSE)&lt;8,"Atrativa",IF(VLOOKUP(BM34,Fundamentus!A:U,12,FALSE)&gt;8,"Supervalorizada","n/a")))))</f>
        <v>Muita barata</v>
      </c>
      <c r="EQ34" s="2"/>
      <c r="ER34" s="17" t="str">
        <f>IF(VLOOKUP(BM34,Fundamentus!A:U,17,FALSE)&lt;0.1,"Fraco retorno",IF(VLOOKUP(BM34,Fundamentus!A:U,17,FALSE)&gt;0.1,"Bom retorno","n/a"))</f>
        <v>Bom retorno</v>
      </c>
      <c r="ES34" s="17" t="str">
        <f>IF(VLOOKUP(BM34,Fundamentus!A:U,16,FALSE)&lt;0.1,"Ineficiente",IF(VLOOKUP(BM34,Fundamentus!A:U,16,FALSE)&gt;0.1,"Eficiente","n/a"))</f>
        <v>Eficiente</v>
      </c>
      <c r="ET34" s="33" t="str">
        <f>IF(VLOOKUP(BM34,Fundamentus!A:U,16,FALSE)&lt;0.1,"Oper. Ineficiente",IF(VLOOKUP(BM34,Fundamentus!A:U,16,FALSE)&gt;0.1,"Oper.Eficiente","n/a"))</f>
        <v>Oper.Eficiente</v>
      </c>
      <c r="EU34" s="34">
        <f>VLOOKUP(BM34,Fundamentus!A:U,14,FALSE)</f>
        <v>0.1578</v>
      </c>
      <c r="EV34" s="17" t="str">
        <f>IF(VLOOKUP(BM34,Fundamentus!A:U,21,FALSE)&lt;0,"Negativo",IF(VLOOKUP(BM34,Fundamentus!A:U,21,FALSE)&lt;0.05,"Fraco",IF(VLOOKUP(BM34,Fundamentus!A:U,21,FALSE)&lt;0.1,"Bom",IF(VLOOKUP(BM34,Fundamentus!A:U,21,FALSE)&gt;0.1,"Muito bom","n/a"))))</f>
        <v>Fraco</v>
      </c>
      <c r="EX34" s="29" t="str">
        <f>IF(VLOOKUP(BM34,Fundamentus!A:U,15,FALSE)&gt;1,"Bom",IF(VLOOKUP(BM34,Fundamentus!A:U,15,FALSE)&lt;1,"Ruim","n/a"))</f>
        <v>Bom</v>
      </c>
      <c r="EY34" s="17" t="str">
        <f>IF(VLOOKUP(BM34,Fundamentus!A:U,20,FALSE)&lt;0.5,"Baixa",IF(VLOOKUP(BM34,Fundamentus!A:U,20,FALSE)&lt;1,"Moderada",IF(VLOOKUP(BM34,Fundamentus!A:U,20,FALSE)&lt;2,"Alerta",IF(VLOOKUP(BM34,Fundamentus!A:U,20,FALSE)&gt;2,"Alta","n/a"))))</f>
        <v>Baixa</v>
      </c>
    </row>
    <row r="35" spans="1:155" s="2" customFormat="1" ht="11.25" x14ac:dyDescent="0.2">
      <c r="A35" s="4">
        <v>10.53</v>
      </c>
      <c r="B35" s="4">
        <v>11.09</v>
      </c>
      <c r="C35" s="4">
        <v>10.89</v>
      </c>
      <c r="D35" s="4">
        <v>10.47</v>
      </c>
      <c r="E35" s="4">
        <v>10.28</v>
      </c>
      <c r="F35" s="4">
        <v>10.23</v>
      </c>
      <c r="G35" s="4">
        <v>9.99</v>
      </c>
      <c r="H35" s="4">
        <v>9.64</v>
      </c>
      <c r="I35" s="4">
        <v>10.61</v>
      </c>
      <c r="J35" s="4">
        <v>11.8</v>
      </c>
      <c r="K35" s="4">
        <v>11.9</v>
      </c>
      <c r="L35" s="4">
        <v>11.29</v>
      </c>
      <c r="M35" s="4">
        <v>11.29</v>
      </c>
      <c r="N35" s="4">
        <v>10.37</v>
      </c>
      <c r="O35" s="4">
        <v>11.62</v>
      </c>
      <c r="P35" s="4">
        <v>11.68</v>
      </c>
      <c r="Q35" s="4">
        <v>13.73</v>
      </c>
      <c r="R35" s="4">
        <v>13.97</v>
      </c>
      <c r="S35" s="4">
        <v>14.16</v>
      </c>
      <c r="T35" s="4">
        <v>14.24</v>
      </c>
      <c r="U35" s="4">
        <v>13.17</v>
      </c>
      <c r="V35" s="4">
        <v>13.76</v>
      </c>
      <c r="W35" s="4">
        <v>13.05</v>
      </c>
      <c r="X35" s="4">
        <v>13.1</v>
      </c>
      <c r="Y35" s="4">
        <v>14.1</v>
      </c>
      <c r="Z35" s="4">
        <v>14.18</v>
      </c>
      <c r="AA35" s="4">
        <v>14.75</v>
      </c>
      <c r="AB35" s="4">
        <v>15.23</v>
      </c>
      <c r="AC35" s="4">
        <v>14.92</v>
      </c>
      <c r="AD35" s="4">
        <v>14.7</v>
      </c>
      <c r="AE35" s="4">
        <v>13.39</v>
      </c>
      <c r="AF35" s="4">
        <v>13.67</v>
      </c>
      <c r="AG35" s="4">
        <v>13.66</v>
      </c>
      <c r="AH35" s="4">
        <v>13.6</v>
      </c>
      <c r="AI35" s="4">
        <v>12.68</v>
      </c>
      <c r="AJ35" s="4">
        <v>12.9</v>
      </c>
      <c r="AK35" s="4">
        <v>12.66</v>
      </c>
      <c r="AL35" s="4">
        <v>11.86</v>
      </c>
      <c r="AM35" s="4">
        <v>12.48</v>
      </c>
      <c r="AN35" s="4">
        <v>12.97</v>
      </c>
      <c r="AO35" s="4">
        <v>12.05</v>
      </c>
      <c r="AP35" s="4">
        <v>12.75</v>
      </c>
      <c r="AQ35" s="4">
        <v>11.96</v>
      </c>
      <c r="AR35" s="4">
        <v>12.42</v>
      </c>
      <c r="AS35" s="4">
        <v>12.6</v>
      </c>
      <c r="AT35" s="4">
        <v>11.69</v>
      </c>
      <c r="AU35" s="4">
        <v>13.42</v>
      </c>
      <c r="AV35" s="4">
        <v>13.2</v>
      </c>
      <c r="AW35" s="4">
        <v>13.4</v>
      </c>
      <c r="AX35" s="4">
        <v>12.85</v>
      </c>
      <c r="AY35" s="12">
        <v>12.66</v>
      </c>
      <c r="AZ35" s="12">
        <v>12.79</v>
      </c>
      <c r="BA35" s="12">
        <v>12.91</v>
      </c>
      <c r="BB35" s="15">
        <v>12.92</v>
      </c>
      <c r="BC35" s="52">
        <v>13.9</v>
      </c>
      <c r="BD35" s="52">
        <v>14.33</v>
      </c>
      <c r="BE35" s="52">
        <v>14</v>
      </c>
      <c r="BF35" s="52">
        <v>13.9</v>
      </c>
      <c r="BG35" s="67">
        <v>13.7</v>
      </c>
      <c r="BH35" s="52">
        <v>13.67</v>
      </c>
      <c r="BI35" s="52">
        <v>13.43</v>
      </c>
      <c r="BJ35" s="52">
        <v>12.84</v>
      </c>
      <c r="BK35" s="52">
        <v>13.01</v>
      </c>
      <c r="BL35" s="52" cm="1">
        <f t="array" aca="1" ref="BL35" ca="1">_FV(EC35,"Preço")</f>
        <v>13.01</v>
      </c>
      <c r="BM35" s="69" t="s">
        <v>187</v>
      </c>
      <c r="BN35" s="36" cm="1">
        <f t="array" aca="1" ref="BN35" ca="1">_FV(EC35,"Média de volume",TRUE)</f>
        <v>499170</v>
      </c>
      <c r="BO35" s="36">
        <v>161600</v>
      </c>
      <c r="BP35" s="36" cm="1">
        <f t="array" aca="1" ref="BP35" ca="1">_FV(EC35,"Volume")</f>
        <v>161600</v>
      </c>
      <c r="BQ35" s="24" cm="1">
        <f t="array" aca="1" ref="BQ35" ca="1">_FV(EC35,"Beta")</f>
        <v>1.008</v>
      </c>
      <c r="BR35" s="71" cm="1">
        <f t="array" aca="1" ref="BR35" ca="1">_FV(EC35,"Variação (%)",TRUE)</f>
        <v>-1.7372000000000002E-2</v>
      </c>
      <c r="BT35" s="17" cm="1">
        <f t="array" aca="1" ref="BT35" ca="1">_FV(EC35,"Baixo")</f>
        <v>12.94</v>
      </c>
      <c r="BU35" s="17" cm="1">
        <f t="array" aca="1" ref="BU35" ca="1">_FV(EC35,"Alto")</f>
        <v>13.22</v>
      </c>
      <c r="BV35" s="24"/>
      <c r="BW35" s="63">
        <f ca="1">SQRT(22.5*(BL35/VLOOKUP(BM35,Fundamentus!A:U,3,FALSE))*(BL35/VLOOKUP(BM35,Fundamentus!A:U,4,FALSE)))</f>
        <v>19.256390147094493</v>
      </c>
      <c r="BY35" s="62">
        <f t="shared" ca="1" si="24"/>
        <v>0</v>
      </c>
      <c r="BZ35" s="8"/>
      <c r="CA35" s="61">
        <f t="shared" si="25"/>
        <v>9.64</v>
      </c>
      <c r="CB35" s="61">
        <f t="shared" si="26"/>
        <v>15.23</v>
      </c>
      <c r="CC35" s="61">
        <f t="shared" si="27"/>
        <v>12.714444444444446</v>
      </c>
      <c r="CD35" s="14"/>
      <c r="CE35" s="35">
        <f t="shared" si="1"/>
        <v>12.344910127450245</v>
      </c>
      <c r="CF35" s="15">
        <f t="shared" si="28"/>
        <v>13.109000000000151</v>
      </c>
      <c r="CG35" s="35">
        <f t="shared" si="2"/>
        <v>13.873089872550057</v>
      </c>
      <c r="CI35" s="14"/>
      <c r="CJ35" s="17">
        <f t="shared" si="3"/>
        <v>4.32</v>
      </c>
      <c r="CK35" s="17">
        <f t="shared" si="4"/>
        <v>6.98</v>
      </c>
      <c r="CL35" s="17">
        <f t="shared" si="5"/>
        <v>9.91</v>
      </c>
      <c r="CM35" s="38">
        <f t="shared" si="29"/>
        <v>12.57</v>
      </c>
      <c r="CN35" s="17">
        <f t="shared" si="6"/>
        <v>15.5</v>
      </c>
      <c r="CO35" s="17">
        <f t="shared" si="7"/>
        <v>18.16</v>
      </c>
      <c r="CP35" s="17">
        <f t="shared" si="8"/>
        <v>21.09</v>
      </c>
      <c r="CQ35" s="2" cm="1">
        <f t="array" aca="1" ref="CQ35" ca="1">MAX(_xlfn._xlws.FILTER(CJ35:CP35,CJ35:CP35&lt;BL35))</f>
        <v>12.57</v>
      </c>
      <c r="CR35" s="2" cm="1">
        <f t="array" aca="1" ref="CR35" ca="1">MIN(_xlfn._xlws.FILTER($CJ35:$CP35,$CJ35:$CP35&gt;BL35))</f>
        <v>15.5</v>
      </c>
      <c r="CS35" s="16">
        <f t="shared" ca="1" si="63"/>
        <v>0.23309466984884653</v>
      </c>
      <c r="CT35" s="20">
        <f t="shared" ca="1" si="64"/>
        <v>-0.11654733492442326</v>
      </c>
      <c r="CU35" s="20">
        <f t="shared" ca="1" si="65"/>
        <v>-7.7698223282948842E-2</v>
      </c>
      <c r="CV35" s="20">
        <f t="shared" ca="1" si="66"/>
        <v>-4.6618933969769308E-2</v>
      </c>
      <c r="CW35" s="20">
        <f t="shared" ca="1" si="67"/>
        <v>-2.5899407760982946E-2</v>
      </c>
      <c r="CX35" s="20">
        <f t="shared" ca="1" si="68"/>
        <v>-1.3711451167579207E-2</v>
      </c>
      <c r="CY35" s="20">
        <f t="shared" ca="1" si="69"/>
        <v>-7.0634748439044404E-3</v>
      </c>
      <c r="CZ35" s="20">
        <f t="shared" ca="1" si="70"/>
        <v>-3.5860718438284079E-3</v>
      </c>
      <c r="DA35" s="21">
        <f t="shared" ca="1" si="71"/>
        <v>3.5860718438284079E-3</v>
      </c>
      <c r="DB35" s="21">
        <f t="shared" ca="1" si="72"/>
        <v>7.0634748439044404E-3</v>
      </c>
      <c r="DC35" s="21">
        <f t="shared" ca="1" si="73"/>
        <v>1.3711451167579207E-2</v>
      </c>
      <c r="DD35" s="21">
        <f t="shared" ca="1" si="74"/>
        <v>2.5899407760982946E-2</v>
      </c>
      <c r="DE35" s="21">
        <f t="shared" ca="1" si="75"/>
        <v>4.6618933969769308E-2</v>
      </c>
      <c r="DF35" s="21">
        <f t="shared" ca="1" si="76"/>
        <v>7.7698223282948842E-2</v>
      </c>
      <c r="DG35" s="21">
        <f t="shared" ca="1" si="77"/>
        <v>0.11654733492442326</v>
      </c>
      <c r="DI35" s="16" cm="1">
        <f t="array" aca="1" ref="DI35" ca="1">MAX(_xlfn._xlws.FILTER(CT35:DG35,CT35:DG35&lt;BR35))</f>
        <v>-2.5899407760982946E-2</v>
      </c>
      <c r="DJ35" s="16" cm="1">
        <f t="array" aca="1" ref="DJ35" ca="1">MIN(_xlfn._xlws.FILTER(CT35:DG35,CT35:DG35&gt;BR35))</f>
        <v>-1.3711451167579207E-2</v>
      </c>
      <c r="DK35" s="2" cm="1">
        <f t="array" aca="1" ref="DK35" ca="1">_FV(EC35,"Fechamento anterior",TRUE)</f>
        <v>13.24</v>
      </c>
      <c r="DL35" s="28">
        <f t="shared" ca="1" si="15"/>
        <v>0.69969124743511757</v>
      </c>
      <c r="DM35" s="15">
        <f t="shared" ca="1" si="78"/>
        <v>12.897091841244587</v>
      </c>
      <c r="DN35" s="15">
        <f t="shared" ca="1" si="79"/>
        <v>13.058460386541251</v>
      </c>
      <c r="DO35" s="9"/>
      <c r="DP35" s="9"/>
      <c r="DQ35" s="9"/>
      <c r="DR35" s="89">
        <v>1.6271186440677949E-2</v>
      </c>
      <c r="DS35" s="89">
        <v>7.6982908198879145E-3</v>
      </c>
      <c r="DT35" s="89">
        <v>6.6479763236747666E-3</v>
      </c>
      <c r="DU35" s="89">
        <v>1.2187956593403739E-2</v>
      </c>
      <c r="DV35" s="89">
        <f t="shared" ca="1" si="18"/>
        <v>1.2187956593403739E-2</v>
      </c>
      <c r="DW35" s="72">
        <f t="shared" ca="1" si="19"/>
        <v>-0.12956591044685653</v>
      </c>
      <c r="DX35" s="37"/>
      <c r="DY35" s="35">
        <f t="shared" si="39"/>
        <v>0.38204493627495362</v>
      </c>
      <c r="DZ35" s="56"/>
      <c r="EA35" s="56"/>
      <c r="EC35" s="2" t="e" vm="35">
        <v>#VALUE!</v>
      </c>
      <c r="EE35" s="10" cm="1">
        <f t="array" aca="1" ref="EE35" ca="1">_FV(EC35,"Ações em circulação",TRUE)</f>
        <v>179393900</v>
      </c>
      <c r="EF35" s="18">
        <f>VLOOKUP(BM35,Fundamentus!A:U,5,FALSE)</f>
        <v>1.39</v>
      </c>
      <c r="EG35" s="2">
        <f t="shared" ca="1" si="20"/>
        <v>1679075279.8561153</v>
      </c>
      <c r="EH35" s="17">
        <v>251357569.39446047</v>
      </c>
      <c r="EI35" s="17">
        <f t="shared" ca="1" si="21"/>
        <v>251357569.39446047</v>
      </c>
      <c r="EK35" s="16">
        <f t="shared" ca="1" si="22"/>
        <v>0</v>
      </c>
      <c r="EL35" s="32" t="str">
        <f>IF(VLOOKUP(BM35,Fundamentus!A:U,3,FALSE)&lt;15,"Bom",IF(VLOOKUP(BM35,Fundamentus!A:U,3,FALSE)&gt;15,"Ruim","n/a"))</f>
        <v>Bom</v>
      </c>
      <c r="EM35" s="28" t="str">
        <f>IF(VLOOKUP(BM35,Fundamentus!A:U,4,FALSE)&lt;1,"Baixo",IF(VLOOKUP(BM35,Fundamentus!A:U,4,FALSE)&lt;1.5,"Moderado",IF(VLOOKUP(BM35,Fundamentus!A:U,4,FALSE)&gt;1.5,"Alto","n/a")))</f>
        <v>Moderado</v>
      </c>
      <c r="EN35" s="17" t="str">
        <f>IF(VLOOKUP(BM35,Fundamentus!A:U,8,FALSE)&lt;0,"Risco elevado",IF(VLOOKUP(BM35,Fundamentus!A:U,8,FALSE)&lt;1,"Saudável",IF(VLOOKUP(BM35,Fundamentus!A:U,8,FALSE)&lt;3,"Estável",IF(VLOOKUP(BM35,Fundamentus!A:U,8,FALSE)&gt;3,"Alerta","n/a"))))</f>
        <v>Estável</v>
      </c>
      <c r="EO35" s="28" t="str">
        <f t="shared" si="23"/>
        <v>Bom</v>
      </c>
      <c r="EP35" s="17" t="str">
        <f>IF(VLOOKUP(BM35,Fundamentus!A:U,12,FALSE)&lt;2,"Subvalorizada",IF(VLOOKUP(BM35,Fundamentus!A:U,12,FALSE)&lt;6,"Muita barata",IF(VLOOKUP(BM35,Fundamentus!A:U,12,FALSE)&lt;6,"Barata",IF(VLOOKUP(BM35,Fundamentus!A:U,12,FALSE)&lt;8,"Atrativa",IF(VLOOKUP(BM35,Fundamentus!A:U,12,FALSE)&gt;8,"Supervalorizada","n/a")))))</f>
        <v>Muita barata</v>
      </c>
      <c r="ER35" s="17" t="str">
        <f>IF(VLOOKUP(BM35,Fundamentus!A:U,17,FALSE)&lt;0.1,"Fraco retorno",IF(VLOOKUP(BM35,Fundamentus!A:U,17,FALSE)&gt;0.1,"Bom retorno","n/a"))</f>
        <v>Bom retorno</v>
      </c>
      <c r="ES35" s="17" t="str">
        <f>IF(VLOOKUP(BM35,Fundamentus!A:U,16,FALSE)&lt;0.1,"Ineficiente",IF(VLOOKUP(BM35,Fundamentus!A:U,16,FALSE)&gt;0.1,"Eficiente","n/a"))</f>
        <v>Eficiente</v>
      </c>
      <c r="ET35" s="33" t="str">
        <f>IF(VLOOKUP(BM35,Fundamentus!A:U,16,FALSE)&lt;0.1,"Oper. Ineficiente",IF(VLOOKUP(BM35,Fundamentus!A:U,16,FALSE)&gt;0.1,"Oper.Eficiente","n/a"))</f>
        <v>Oper.Eficiente</v>
      </c>
      <c r="EU35" s="34">
        <f>VLOOKUP(BM35,Fundamentus!A:U,14,FALSE)</f>
        <v>0.1497</v>
      </c>
      <c r="EV35" s="17" t="str">
        <f>IF(VLOOKUP(BM35,Fundamentus!A:U,21,FALSE)&lt;0,"Negativo",IF(VLOOKUP(BM35,Fundamentus!A:U,21,FALSE)&lt;0.05,"Fraco",IF(VLOOKUP(BM35,Fundamentus!A:U,21,FALSE)&lt;0.1,"Bom",IF(VLOOKUP(BM35,Fundamentus!A:U,21,FALSE)&gt;0.1,"Muito bom","n/a"))))</f>
        <v>Bom</v>
      </c>
      <c r="EX35" s="29" t="str">
        <f>IF(VLOOKUP(BM35,Fundamentus!A:U,15,FALSE)&gt;1,"Bom",IF(VLOOKUP(BM35,Fundamentus!A:U,15,FALSE)&lt;1,"Ruim","n/a"))</f>
        <v>Bom</v>
      </c>
      <c r="EY35" s="17" t="str">
        <f>IF(VLOOKUP(BM35,Fundamentus!A:U,20,FALSE)&lt;0.5,"Baixa",IF(VLOOKUP(BM35,Fundamentus!A:U,20,FALSE)&lt;1,"Moderada",IF(VLOOKUP(BM35,Fundamentus!A:U,20,FALSE)&lt;2,"Alerta",IF(VLOOKUP(BM35,Fundamentus!A:U,20,FALSE)&gt;2,"Alta","n/a"))))</f>
        <v>Baixa</v>
      </c>
    </row>
    <row r="36" spans="1:155" s="2" customFormat="1" ht="11.25" x14ac:dyDescent="0.2">
      <c r="A36" s="4">
        <v>17.14</v>
      </c>
      <c r="B36" s="4">
        <v>17.350000000000001</v>
      </c>
      <c r="C36" s="4">
        <v>17.239999999999998</v>
      </c>
      <c r="D36" s="4">
        <v>16.38</v>
      </c>
      <c r="E36" s="4">
        <v>16.12</v>
      </c>
      <c r="F36" s="4">
        <v>15.27</v>
      </c>
      <c r="G36" s="4">
        <v>15.2</v>
      </c>
      <c r="H36" s="4">
        <v>16.02</v>
      </c>
      <c r="I36" s="4">
        <v>16.25</v>
      </c>
      <c r="J36" s="4">
        <v>16.16</v>
      </c>
      <c r="K36" s="4">
        <v>16.239999999999998</v>
      </c>
      <c r="L36" s="4">
        <v>16.57</v>
      </c>
      <c r="M36" s="4">
        <v>16.18</v>
      </c>
      <c r="N36" s="4">
        <v>15.59</v>
      </c>
      <c r="O36" s="4">
        <v>15.64</v>
      </c>
      <c r="P36" s="4">
        <v>15.54</v>
      </c>
      <c r="Q36" s="4">
        <v>16.260000000000002</v>
      </c>
      <c r="R36" s="4">
        <v>16.21</v>
      </c>
      <c r="S36" s="4">
        <v>16.2</v>
      </c>
      <c r="T36" s="4">
        <v>16.68</v>
      </c>
      <c r="U36" s="4">
        <v>16.25</v>
      </c>
      <c r="V36" s="4">
        <v>16.82</v>
      </c>
      <c r="W36" s="4">
        <v>16.95</v>
      </c>
      <c r="X36" s="4">
        <v>16.46</v>
      </c>
      <c r="Y36" s="4">
        <v>16.59</v>
      </c>
      <c r="Z36" s="4">
        <v>17.3</v>
      </c>
      <c r="AA36" s="4">
        <v>17.739999999999998</v>
      </c>
      <c r="AB36" s="4">
        <v>19.41</v>
      </c>
      <c r="AC36" s="4">
        <v>19.260000000000002</v>
      </c>
      <c r="AD36" s="4">
        <v>19.5</v>
      </c>
      <c r="AE36" s="4">
        <v>19.600000000000001</v>
      </c>
      <c r="AF36" s="4">
        <v>19.579999999999998</v>
      </c>
      <c r="AG36" s="4">
        <v>18.97</v>
      </c>
      <c r="AH36" s="4">
        <v>17.510000000000002</v>
      </c>
      <c r="AI36" s="4">
        <v>17.079999999999998</v>
      </c>
      <c r="AJ36" s="4">
        <v>16.07</v>
      </c>
      <c r="AK36" s="4">
        <v>15.47</v>
      </c>
      <c r="AL36" s="4">
        <v>15.92</v>
      </c>
      <c r="AM36" s="4">
        <v>16.25</v>
      </c>
      <c r="AN36" s="4">
        <v>15.87</v>
      </c>
      <c r="AO36" s="4">
        <v>15.86</v>
      </c>
      <c r="AP36" s="4">
        <v>16.350000000000001</v>
      </c>
      <c r="AQ36" s="4">
        <v>15.36</v>
      </c>
      <c r="AR36" s="4">
        <v>15.69</v>
      </c>
      <c r="AS36" s="4">
        <v>15.84</v>
      </c>
      <c r="AT36" s="4">
        <v>15.71</v>
      </c>
      <c r="AU36" s="4">
        <v>16.004999999999999</v>
      </c>
      <c r="AV36" s="4">
        <v>15.95</v>
      </c>
      <c r="AW36" s="4">
        <v>14.75</v>
      </c>
      <c r="AX36" s="4">
        <v>14.28</v>
      </c>
      <c r="AY36" s="12">
        <v>14.55</v>
      </c>
      <c r="AZ36" s="12">
        <v>14.99</v>
      </c>
      <c r="BA36" s="12">
        <v>14.68</v>
      </c>
      <c r="BB36" s="15">
        <v>14.5</v>
      </c>
      <c r="BC36" s="52">
        <v>15.2</v>
      </c>
      <c r="BD36" s="52">
        <v>14.96</v>
      </c>
      <c r="BE36" s="52">
        <v>14.54</v>
      </c>
      <c r="BF36" s="52">
        <v>15.01</v>
      </c>
      <c r="BG36" s="67">
        <v>14.96</v>
      </c>
      <c r="BH36" s="52">
        <v>14.27</v>
      </c>
      <c r="BI36" s="52">
        <v>14.55</v>
      </c>
      <c r="BJ36" s="52">
        <v>15.16</v>
      </c>
      <c r="BK36" s="52">
        <v>14.94</v>
      </c>
      <c r="BL36" s="52" cm="1">
        <f t="array" aca="1" ref="BL36" ca="1">_FV(EC36,"Preço")</f>
        <v>14.94</v>
      </c>
      <c r="BM36" s="69" t="s">
        <v>33</v>
      </c>
      <c r="BN36" s="36" cm="1">
        <f t="array" aca="1" ref="BN36" ca="1">_FV(EC36,"Média de volume",TRUE)</f>
        <v>8534910</v>
      </c>
      <c r="BO36" s="36">
        <v>21800</v>
      </c>
      <c r="BP36" s="36" cm="1">
        <f t="array" aca="1" ref="BP36" ca="1">_FV(EC36,"Volume")</f>
        <v>21800</v>
      </c>
      <c r="BQ36" s="24" cm="1">
        <f t="array" aca="1" ref="BQ36" ca="1">_FV(EC36,"Beta")</f>
        <v>0.63539999999999996</v>
      </c>
      <c r="BR36" s="71" cm="1">
        <f t="array" aca="1" ref="BR36" ca="1">_FV(EC36,"Variação (%)",TRUE)</f>
        <v>-1.7104999999999999E-2</v>
      </c>
      <c r="BT36" s="17" cm="1">
        <f t="array" aca="1" ref="BT36" ca="1">_FV(EC36,"Baixo")</f>
        <v>14.8</v>
      </c>
      <c r="BU36" s="17" cm="1">
        <f t="array" aca="1" ref="BU36" ca="1">_FV(EC36,"Alto")</f>
        <v>15.2</v>
      </c>
      <c r="BV36" s="24"/>
      <c r="BW36" s="63">
        <f ca="1">SQRT(22.5*(BL36/VLOOKUP(BM36,Fundamentus!A:U,3,FALSE))*(BL36/VLOOKUP(BM36,Fundamentus!A:U,4,FALSE)))</f>
        <v>31.674160244345323</v>
      </c>
      <c r="BY36" s="62">
        <f t="shared" ca="1" si="24"/>
        <v>0</v>
      </c>
      <c r="BZ36" s="8"/>
      <c r="CA36" s="61">
        <f t="shared" si="25"/>
        <v>14.27</v>
      </c>
      <c r="CB36" s="61">
        <f t="shared" si="26"/>
        <v>19.600000000000001</v>
      </c>
      <c r="CC36" s="61">
        <f t="shared" si="27"/>
        <v>16.205476190476194</v>
      </c>
      <c r="CD36" s="14"/>
      <c r="CE36" s="35">
        <f t="shared" si="1"/>
        <v>14.249471859464718</v>
      </c>
      <c r="CF36" s="15">
        <f t="shared" si="28"/>
        <v>14.861000000000104</v>
      </c>
      <c r="CG36" s="35">
        <f t="shared" si="2"/>
        <v>15.47252814053549</v>
      </c>
      <c r="CI36" s="14"/>
      <c r="CJ36" s="17">
        <f t="shared" si="3"/>
        <v>7.7566666666666642</v>
      </c>
      <c r="CK36" s="17">
        <f t="shared" si="4"/>
        <v>11.013333333333332</v>
      </c>
      <c r="CL36" s="17">
        <f t="shared" si="5"/>
        <v>13.086666666666666</v>
      </c>
      <c r="CM36" s="38">
        <f t="shared" si="29"/>
        <v>16.343333333333334</v>
      </c>
      <c r="CN36" s="17">
        <f t="shared" si="6"/>
        <v>18.416666666666668</v>
      </c>
      <c r="CO36" s="17">
        <f t="shared" si="7"/>
        <v>21.673333333333336</v>
      </c>
      <c r="CP36" s="17">
        <f t="shared" si="8"/>
        <v>23.74666666666667</v>
      </c>
      <c r="CQ36" s="2" cm="1">
        <f t="array" aca="1" ref="CQ36" ca="1">MAX(_xlfn._xlws.FILTER(CJ36:CP36,CJ36:CP36&lt;BL36))</f>
        <v>13.086666666666666</v>
      </c>
      <c r="CR36" s="2" cm="1">
        <f t="array" aca="1" ref="CR36" ca="1">MIN(_xlfn._xlws.FILTER($CJ36:$CP36,$CJ36:$CP36&gt;BL36))</f>
        <v>16.343333333333334</v>
      </c>
      <c r="CS36" s="16">
        <f t="shared" ca="1" si="63"/>
        <v>0.24885379521141116</v>
      </c>
      <c r="CT36" s="20">
        <f t="shared" ca="1" si="64"/>
        <v>-0.12442689760570558</v>
      </c>
      <c r="CU36" s="20">
        <f t="shared" ca="1" si="65"/>
        <v>-8.295126507047039E-2</v>
      </c>
      <c r="CV36" s="20">
        <f t="shared" ca="1" si="66"/>
        <v>-4.9770759042282231E-2</v>
      </c>
      <c r="CW36" s="20">
        <f t="shared" ca="1" si="67"/>
        <v>-2.7650421690156794E-2</v>
      </c>
      <c r="CX36" s="20">
        <f t="shared" ca="1" si="68"/>
        <v>-1.4638458541847714E-2</v>
      </c>
      <c r="CY36" s="20">
        <f t="shared" ca="1" si="69"/>
        <v>-7.5410240973154893E-3</v>
      </c>
      <c r="CZ36" s="20">
        <f t="shared" ca="1" si="70"/>
        <v>-3.8285199263294024E-3</v>
      </c>
      <c r="DA36" s="21">
        <f t="shared" ca="1" si="71"/>
        <v>3.8285199263294024E-3</v>
      </c>
      <c r="DB36" s="21">
        <f t="shared" ca="1" si="72"/>
        <v>7.5410240973154893E-3</v>
      </c>
      <c r="DC36" s="21">
        <f t="shared" ca="1" si="73"/>
        <v>1.4638458541847714E-2</v>
      </c>
      <c r="DD36" s="21">
        <f t="shared" ca="1" si="74"/>
        <v>2.7650421690156794E-2</v>
      </c>
      <c r="DE36" s="21">
        <f t="shared" ca="1" si="75"/>
        <v>4.9770759042282231E-2</v>
      </c>
      <c r="DF36" s="21">
        <f t="shared" ca="1" si="76"/>
        <v>8.295126507047039E-2</v>
      </c>
      <c r="DG36" s="21">
        <f t="shared" ca="1" si="77"/>
        <v>0.12442689760570558</v>
      </c>
      <c r="DI36" s="16" cm="1">
        <f t="array" aca="1" ref="DI36" ca="1">MAX(_xlfn._xlws.FILTER(CT36:DG36,CT36:DG36&lt;BR36))</f>
        <v>-2.7650421690156794E-2</v>
      </c>
      <c r="DJ36" s="16" cm="1">
        <f t="array" aca="1" ref="DJ36" ca="1">MIN(_xlfn._xlws.FILTER(CT36:DG36,CT36:DG36&gt;BR36))</f>
        <v>-1.4638458541847714E-2</v>
      </c>
      <c r="DK36" s="2" cm="1">
        <f t="array" aca="1" ref="DK36" ca="1">_FV(EC36,"Fechamento anterior",TRUE)</f>
        <v>15.2</v>
      </c>
      <c r="DL36" s="28">
        <f t="shared" ca="1" si="15"/>
        <v>0.81042025804018736</v>
      </c>
      <c r="DM36" s="15">
        <f t="shared" ca="1" si="78"/>
        <v>14.779713590309616</v>
      </c>
      <c r="DN36" s="15">
        <f t="shared" ca="1" si="79"/>
        <v>14.977495430163914</v>
      </c>
      <c r="DO36" s="9"/>
      <c r="DP36" s="9"/>
      <c r="DQ36" s="9"/>
      <c r="DR36" s="89">
        <v>9.4078951346187566E-3</v>
      </c>
      <c r="DS36" s="89">
        <v>1.339465827483257E-2</v>
      </c>
      <c r="DT36" s="89">
        <v>7.6570398526588047E-3</v>
      </c>
      <c r="DU36" s="89">
        <v>1.301196314830908E-2</v>
      </c>
      <c r="DV36" s="89">
        <f t="shared" ca="1" si="18"/>
        <v>1.301196314830908E-2</v>
      </c>
      <c r="DW36" s="72">
        <f t="shared" ca="1" si="19"/>
        <v>0.12918457019938973</v>
      </c>
      <c r="DX36" s="37"/>
      <c r="DY36" s="35">
        <f t="shared" si="39"/>
        <v>0.30576407026769303</v>
      </c>
      <c r="DZ36" s="56"/>
      <c r="EA36" s="56"/>
      <c r="EC36" s="2" t="e" vm="36">
        <v>#VALUE!</v>
      </c>
      <c r="EE36" s="10" cm="1">
        <f t="array" aca="1" ref="EE36" ca="1">_FV(EC36,"Ações em circulação",TRUE)</f>
        <v>2028195000</v>
      </c>
      <c r="EF36" s="18">
        <f>VLOOKUP(BM36,Fundamentus!A:U,5,FALSE)</f>
        <v>0.44500000000000001</v>
      </c>
      <c r="EG36" s="2">
        <f t="shared" ca="1" si="20"/>
        <v>68092659101.123596</v>
      </c>
      <c r="EH36" s="17">
        <v>3302493966.4044943</v>
      </c>
      <c r="EI36" s="17">
        <f t="shared" ca="1" si="21"/>
        <v>3302493966.4044943</v>
      </c>
      <c r="EK36" s="16">
        <f t="shared" ca="1" si="22"/>
        <v>0</v>
      </c>
      <c r="EL36" s="32" t="str">
        <f>IF(VLOOKUP(BM36,Fundamentus!A:U,3,FALSE)&lt;15,"Bom",IF(VLOOKUP(BM36,Fundamentus!A:U,3,FALSE)&gt;15,"Ruim","n/a"))</f>
        <v>Bom</v>
      </c>
      <c r="EM36" s="28" t="str">
        <f>IF(VLOOKUP(BM36,Fundamentus!A:U,4,FALSE)&lt;1,"Baixo",IF(VLOOKUP(BM36,Fundamentus!A:U,4,FALSE)&lt;1.5,"Moderado",IF(VLOOKUP(BM36,Fundamentus!A:U,4,FALSE)&gt;1.5,"Alto","n/a")))</f>
        <v>Baixo</v>
      </c>
      <c r="EN36" s="17" t="str">
        <f>IF(VLOOKUP(BM36,Fundamentus!A:U,8,FALSE)&lt;0,"Risco elevado",IF(VLOOKUP(BM36,Fundamentus!A:U,8,FALSE)&lt;1,"Saudável",IF(VLOOKUP(BM36,Fundamentus!A:U,8,FALSE)&lt;3,"Estável",IF(VLOOKUP(BM36,Fundamentus!A:U,8,FALSE)&gt;3,"Alerta","n/a"))))</f>
        <v>Estável</v>
      </c>
      <c r="EO36" s="28" t="str">
        <f t="shared" si="23"/>
        <v>Ruim</v>
      </c>
      <c r="EP36" s="17" t="str">
        <f>IF(VLOOKUP(BM36,Fundamentus!A:U,12,FALSE)&lt;2,"Subvalorizada",IF(VLOOKUP(BM36,Fundamentus!A:U,12,FALSE)&lt;6,"Muita barata",IF(VLOOKUP(BM36,Fundamentus!A:U,12,FALSE)&lt;6,"Barata",IF(VLOOKUP(BM36,Fundamentus!A:U,12,FALSE)&lt;8,"Atrativa",IF(VLOOKUP(BM36,Fundamentus!A:U,12,FALSE)&gt;8,"Supervalorizada","n/a")))))</f>
        <v>Muita barata</v>
      </c>
      <c r="ER36" s="17" t="str">
        <f>IF(VLOOKUP(BM36,Fundamentus!A:U,17,FALSE)&lt;0.1,"Fraco retorno",IF(VLOOKUP(BM36,Fundamentus!A:U,17,FALSE)&gt;0.1,"Bom retorno","n/a"))</f>
        <v>Fraco retorno</v>
      </c>
      <c r="ES36" s="17" t="str">
        <f>IF(VLOOKUP(BM36,Fundamentus!A:U,16,FALSE)&lt;0.1,"Ineficiente",IF(VLOOKUP(BM36,Fundamentus!A:U,16,FALSE)&gt;0.1,"Eficiente","n/a"))</f>
        <v>Ineficiente</v>
      </c>
      <c r="ET36" s="33" t="str">
        <f>IF(VLOOKUP(BM36,Fundamentus!A:U,16,FALSE)&lt;0.1,"Oper. Ineficiente",IF(VLOOKUP(BM36,Fundamentus!A:U,16,FALSE)&gt;0.1,"Oper.Eficiente","n/a"))</f>
        <v>Oper. Ineficiente</v>
      </c>
      <c r="EU36" s="34">
        <f>VLOOKUP(BM36,Fundamentus!A:U,14,FALSE)</f>
        <v>4.8500000000000001E-2</v>
      </c>
      <c r="EV36" s="17" t="str">
        <f>IF(VLOOKUP(BM36,Fundamentus!A:U,21,FALSE)&lt;0,"Negativo",IF(VLOOKUP(BM36,Fundamentus!A:U,21,FALSE)&lt;0.05,"Fraco",IF(VLOOKUP(BM36,Fundamentus!A:U,21,FALSE)&lt;0.1,"Bom",IF(VLOOKUP(BM36,Fundamentus!A:U,21,FALSE)&gt;0.1,"Muito bom","n/a"))))</f>
        <v>Fraco</v>
      </c>
      <c r="EX36" s="29" t="str">
        <f>IF(VLOOKUP(BM36,Fundamentus!A:U,15,FALSE)&gt;1,"Bom",IF(VLOOKUP(BM36,Fundamentus!A:U,15,FALSE)&lt;1,"Ruim","n/a"))</f>
        <v>Bom</v>
      </c>
      <c r="EY36" s="17" t="str">
        <f>IF(VLOOKUP(BM36,Fundamentus!A:U,20,FALSE)&lt;0.5,"Baixa",IF(VLOOKUP(BM36,Fundamentus!A:U,20,FALSE)&lt;1,"Moderada",IF(VLOOKUP(BM36,Fundamentus!A:U,20,FALSE)&lt;2,"Alerta",IF(VLOOKUP(BM36,Fundamentus!A:U,20,FALSE)&gt;2,"Alta","n/a"))))</f>
        <v>Baixa</v>
      </c>
    </row>
    <row r="37" spans="1:155" s="5" customFormat="1" ht="11.25" x14ac:dyDescent="0.2">
      <c r="A37" s="4">
        <v>11.34</v>
      </c>
      <c r="B37" s="4">
        <v>11.53</v>
      </c>
      <c r="C37" s="4">
        <v>10.68</v>
      </c>
      <c r="D37" s="4">
        <v>10.25</v>
      </c>
      <c r="E37" s="4">
        <v>9.92</v>
      </c>
      <c r="F37" s="4">
        <v>9.73</v>
      </c>
      <c r="G37" s="4">
        <v>9.52</v>
      </c>
      <c r="H37" s="4">
        <v>8.91</v>
      </c>
      <c r="I37" s="4">
        <v>9</v>
      </c>
      <c r="J37" s="4">
        <v>10.14</v>
      </c>
      <c r="K37" s="4">
        <v>10.67</v>
      </c>
      <c r="L37" s="4">
        <v>10.25</v>
      </c>
      <c r="M37" s="4">
        <v>9.17</v>
      </c>
      <c r="N37" s="4">
        <v>9.57</v>
      </c>
      <c r="O37" s="4">
        <v>9.77</v>
      </c>
      <c r="P37" s="4">
        <v>9.25</v>
      </c>
      <c r="Q37" s="4">
        <v>9.3000000000000007</v>
      </c>
      <c r="R37" s="4">
        <v>8.9700000000000006</v>
      </c>
      <c r="S37" s="4">
        <v>9.27</v>
      </c>
      <c r="T37" s="4">
        <v>9.11</v>
      </c>
      <c r="U37" s="4">
        <v>8.6</v>
      </c>
      <c r="V37" s="4">
        <v>9.2799999999999994</v>
      </c>
      <c r="W37" s="4">
        <v>8.35</v>
      </c>
      <c r="X37" s="4">
        <v>7.35</v>
      </c>
      <c r="Y37" s="4">
        <v>6.92</v>
      </c>
      <c r="Z37" s="4">
        <v>7.01</v>
      </c>
      <c r="AA37" s="4">
        <v>7.54</v>
      </c>
      <c r="AB37" s="4">
        <v>6.95</v>
      </c>
      <c r="AC37" s="4">
        <v>6.61</v>
      </c>
      <c r="AD37" s="4">
        <v>6.64</v>
      </c>
      <c r="AE37" s="4">
        <v>6.4</v>
      </c>
      <c r="AF37" s="4">
        <v>5.94</v>
      </c>
      <c r="AG37" s="4">
        <v>5.86</v>
      </c>
      <c r="AH37" s="4">
        <v>5.69</v>
      </c>
      <c r="AI37" s="4">
        <v>5.37</v>
      </c>
      <c r="AJ37" s="4">
        <v>5.31</v>
      </c>
      <c r="AK37" s="4">
        <v>5.49</v>
      </c>
      <c r="AL37" s="4">
        <v>5.65</v>
      </c>
      <c r="AM37" s="4">
        <v>5.8</v>
      </c>
      <c r="AN37" s="4">
        <v>6.19</v>
      </c>
      <c r="AO37" s="4">
        <v>6.21</v>
      </c>
      <c r="AP37" s="4">
        <v>7.39</v>
      </c>
      <c r="AQ37" s="4">
        <v>7.2</v>
      </c>
      <c r="AR37" s="4">
        <v>7.25</v>
      </c>
      <c r="AS37" s="4">
        <v>7.39</v>
      </c>
      <c r="AT37" s="4">
        <v>7.45</v>
      </c>
      <c r="AU37" s="4">
        <v>7.4450000000000003</v>
      </c>
      <c r="AV37" s="4">
        <v>7.36</v>
      </c>
      <c r="AW37" s="4">
        <v>8.23</v>
      </c>
      <c r="AX37" s="4">
        <v>8.2899999999999991</v>
      </c>
      <c r="AY37" s="12">
        <v>8.42</v>
      </c>
      <c r="AZ37" s="12">
        <v>8.64</v>
      </c>
      <c r="BA37" s="12">
        <v>8.5500000000000007</v>
      </c>
      <c r="BB37" s="15">
        <v>8.4700000000000006</v>
      </c>
      <c r="BC37" s="52">
        <v>8.48</v>
      </c>
      <c r="BD37" s="52">
        <v>8.4499999999999993</v>
      </c>
      <c r="BE37" s="52">
        <v>8.48</v>
      </c>
      <c r="BF37" s="52">
        <v>8.48</v>
      </c>
      <c r="BG37" s="67">
        <v>8.48</v>
      </c>
      <c r="BH37" s="52">
        <v>8.48</v>
      </c>
      <c r="BI37" s="52">
        <v>8.48</v>
      </c>
      <c r="BJ37" s="52">
        <v>8.48</v>
      </c>
      <c r="BK37" s="52">
        <v>8.48</v>
      </c>
      <c r="BL37" s="52" cm="1">
        <f t="array" aca="1" ref="BL37" ca="1">_FV(EC37,"Preço")</f>
        <v>8.48</v>
      </c>
      <c r="BM37" s="69" t="s">
        <v>34</v>
      </c>
      <c r="BN37" s="36" cm="1">
        <f t="array" aca="1" ref="BN37" ca="1">_FV(EC37,"Média de volume",TRUE)</f>
        <v>3276280</v>
      </c>
      <c r="BO37" s="36">
        <v>14418400</v>
      </c>
      <c r="BP37" s="36" cm="1">
        <f t="array" aca="1" ref="BP37" ca="1">_FV(EC37,"Volume")</f>
        <v>14418400</v>
      </c>
      <c r="BQ37" s="24" cm="1">
        <f t="array" aca="1" ref="BQ37" ca="1">_FV(EC37,"Beta")</f>
        <v>1.3414999999999999</v>
      </c>
      <c r="BR37" s="71" cm="1">
        <f t="array" aca="1" ref="BR37" ca="1">_FV(EC37,"Variação (%)",TRUE)</f>
        <v>0</v>
      </c>
      <c r="BT37" s="17" cm="1">
        <f t="array" aca="1" ref="BT37" ca="1">_FV(EC37,"Baixo")</f>
        <v>8.44</v>
      </c>
      <c r="BU37" s="17" cm="1">
        <f t="array" aca="1" ref="BU37" ca="1">_FV(EC37,"Alto")</f>
        <v>8.5399999999999991</v>
      </c>
      <c r="BV37" s="24"/>
      <c r="BW37" s="63">
        <f ca="1">SQRT(22.5*(BL37/VLOOKUP(BM37,Fundamentus!A:U,3,FALSE))*(BL37/VLOOKUP(BM37,Fundamentus!A:U,4,FALSE)))</f>
        <v>14.368524999267921</v>
      </c>
      <c r="BY37" s="62">
        <f t="shared" ca="1" si="24"/>
        <v>0</v>
      </c>
      <c r="BZ37" s="8"/>
      <c r="CA37" s="61">
        <f t="shared" si="25"/>
        <v>5.31</v>
      </c>
      <c r="CB37" s="61">
        <f t="shared" si="26"/>
        <v>11.53</v>
      </c>
      <c r="CC37" s="61">
        <f t="shared" si="27"/>
        <v>8.1569047619047641</v>
      </c>
      <c r="CD37" s="14"/>
      <c r="CE37" s="35">
        <f t="shared" si="1"/>
        <v>8.4799999999999969</v>
      </c>
      <c r="CF37" s="15">
        <f t="shared" si="28"/>
        <v>8.48</v>
      </c>
      <c r="CG37" s="35">
        <f t="shared" si="2"/>
        <v>8.480000000000004</v>
      </c>
      <c r="CI37" s="14"/>
      <c r="CJ37" s="17">
        <f t="shared" si="3"/>
        <v>-0.87000000000000011</v>
      </c>
      <c r="CK37" s="17">
        <f t="shared" si="4"/>
        <v>2.2199999999999998</v>
      </c>
      <c r="CL37" s="17">
        <f t="shared" si="5"/>
        <v>5.35</v>
      </c>
      <c r="CM37" s="38">
        <f t="shared" si="29"/>
        <v>8.44</v>
      </c>
      <c r="CN37" s="17">
        <f t="shared" si="6"/>
        <v>11.57</v>
      </c>
      <c r="CO37" s="17">
        <f t="shared" si="7"/>
        <v>14.66</v>
      </c>
      <c r="CP37" s="17">
        <f t="shared" si="8"/>
        <v>17.79</v>
      </c>
      <c r="CQ37" s="2" cm="1">
        <f t="array" aca="1" ref="CQ37" ca="1">MAX(_xlfn._xlws.FILTER(CJ37:CP37,CJ37:CP37&lt;BL37))</f>
        <v>8.44</v>
      </c>
      <c r="CR37" s="2" cm="1">
        <f t="array" aca="1" ref="CR37" ca="1">MIN(_xlfn._xlws.FILTER($CJ37:$CP37,$CJ37:$CP37&gt;BL37))</f>
        <v>11.57</v>
      </c>
      <c r="CS37" s="16">
        <f t="shared" ca="1" si="63"/>
        <v>0.37085308056872046</v>
      </c>
      <c r="CT37" s="20">
        <f t="shared" ca="1" si="64"/>
        <v>-0.18542654028436023</v>
      </c>
      <c r="CU37" s="20">
        <f t="shared" ca="1" si="65"/>
        <v>-0.12361769352290682</v>
      </c>
      <c r="CV37" s="20">
        <f t="shared" ca="1" si="66"/>
        <v>-7.4170616113744092E-2</v>
      </c>
      <c r="CW37" s="20">
        <f t="shared" ca="1" si="67"/>
        <v>-4.1205897840968939E-2</v>
      </c>
      <c r="CX37" s="20">
        <f t="shared" ca="1" si="68"/>
        <v>-2.1814887092277673E-2</v>
      </c>
      <c r="CY37" s="20">
        <f t="shared" ca="1" si="69"/>
        <v>-1.1237972138446075E-2</v>
      </c>
      <c r="CZ37" s="20">
        <f t="shared" ca="1" si="70"/>
        <v>-5.7054320087495452E-3</v>
      </c>
      <c r="DA37" s="21">
        <f t="shared" ca="1" si="71"/>
        <v>5.7054320087495452E-3</v>
      </c>
      <c r="DB37" s="21">
        <f t="shared" ca="1" si="72"/>
        <v>1.1237972138446075E-2</v>
      </c>
      <c r="DC37" s="21">
        <f t="shared" ca="1" si="73"/>
        <v>2.1814887092277673E-2</v>
      </c>
      <c r="DD37" s="21">
        <f t="shared" ca="1" si="74"/>
        <v>4.1205897840968939E-2</v>
      </c>
      <c r="DE37" s="21">
        <f t="shared" ca="1" si="75"/>
        <v>7.4170616113744092E-2</v>
      </c>
      <c r="DF37" s="21">
        <f t="shared" ca="1" si="76"/>
        <v>0.12361769352290682</v>
      </c>
      <c r="DG37" s="21">
        <f t="shared" ca="1" si="77"/>
        <v>0.18542654028436023</v>
      </c>
      <c r="DI37" s="16" cm="1">
        <f t="array" aca="1" ref="DI37" ca="1">MAX(_xlfn._xlws.FILTER(CT37:DG37,CT37:DG37&lt;BR37))</f>
        <v>-5.7054320087495452E-3</v>
      </c>
      <c r="DJ37" s="16" cm="1">
        <f t="array" aca="1" ref="DJ37" ca="1">MIN(_xlfn._xlws.FILTER(CT37:DG37,CT37:DG37&gt;BR37))</f>
        <v>5.7054320087495452E-3</v>
      </c>
      <c r="DK37" s="2" cm="1">
        <f t="array" aca="1" ref="DK37" ca="1">_FV(EC37,"Fechamento anterior",TRUE)</f>
        <v>8.4499999999999993</v>
      </c>
      <c r="DL37" s="28">
        <f t="shared" ca="1" si="15"/>
        <v>0.81113295650038564</v>
      </c>
      <c r="DM37" s="15">
        <f t="shared" ca="1" si="78"/>
        <v>8.4017890995260665</v>
      </c>
      <c r="DN37" s="15">
        <f t="shared" ca="1" si="79"/>
        <v>8.4982109004739321</v>
      </c>
      <c r="DO37" s="9"/>
      <c r="DP37" s="9"/>
      <c r="DQ37" s="9"/>
      <c r="DR37" s="89">
        <v>9.0597505388502215E-3</v>
      </c>
      <c r="DS37" s="89">
        <v>1.141086401749909E-2</v>
      </c>
      <c r="DT37" s="89">
        <v>1.141086401749909E-2</v>
      </c>
      <c r="DU37" s="89">
        <v>1.141086401749909E-2</v>
      </c>
      <c r="DV37" s="89">
        <f t="shared" ca="1" si="18"/>
        <v>1.141086401749909E-2</v>
      </c>
      <c r="DW37" s="72">
        <f t="shared" ca="1" si="19"/>
        <v>0</v>
      </c>
      <c r="DX37" s="37"/>
      <c r="DY37" s="35">
        <f t="shared" si="39"/>
        <v>1.7763568394002505E-15</v>
      </c>
      <c r="DZ37" s="56"/>
      <c r="EA37" s="56"/>
      <c r="EC37" s="5" t="e" vm="37">
        <v>#VALUE!</v>
      </c>
      <c r="EE37" s="10" cm="1">
        <f t="array" aca="1" ref="EE37" ca="1">_FV(EC37,"Ações em circulação",TRUE)</f>
        <v>2109057000</v>
      </c>
      <c r="EF37" s="18">
        <f>VLOOKUP(BM37,Fundamentus!A:U,5,FALSE)</f>
        <v>0.153</v>
      </c>
      <c r="EG37" s="2">
        <f t="shared" ca="1" si="20"/>
        <v>116894139607.84314</v>
      </c>
      <c r="EH37" s="17">
        <v>2127473340.8627453</v>
      </c>
      <c r="EI37" s="17">
        <f t="shared" ca="1" si="21"/>
        <v>2127473340.8627453</v>
      </c>
      <c r="EJ37" s="2"/>
      <c r="EK37" s="16">
        <f t="shared" ca="1" si="22"/>
        <v>0</v>
      </c>
      <c r="EL37" s="32" t="str">
        <f>IF(VLOOKUP(BM37,Fundamentus!A:U,3,FALSE)&lt;15,"Bom",IF(VLOOKUP(BM37,Fundamentus!A:U,3,FALSE)&gt;15,"Ruim","n/a"))</f>
        <v>Bom</v>
      </c>
      <c r="EM37" s="28" t="str">
        <f>IF(VLOOKUP(BM37,Fundamentus!A:U,4,FALSE)&lt;1,"Baixo",IF(VLOOKUP(BM37,Fundamentus!A:U,4,FALSE)&lt;1.5,"Moderado",IF(VLOOKUP(BM37,Fundamentus!A:U,4,FALSE)&gt;1.5,"Alto","n/a")))</f>
        <v>Baixo</v>
      </c>
      <c r="EN37" s="17" t="str">
        <f>IF(VLOOKUP(BM37,Fundamentus!A:U,8,FALSE)&lt;0,"Risco elevado",IF(VLOOKUP(BM37,Fundamentus!A:U,8,FALSE)&lt;1,"Saudável",IF(VLOOKUP(BM37,Fundamentus!A:U,8,FALSE)&lt;3,"Estável",IF(VLOOKUP(BM37,Fundamentus!A:U,8,FALSE)&gt;3,"Alerta","n/a"))))</f>
        <v>Alerta</v>
      </c>
      <c r="EO37" s="28" t="str">
        <f t="shared" si="23"/>
        <v>Ruim</v>
      </c>
      <c r="EP37" s="17" t="str">
        <f>IF(VLOOKUP(BM37,Fundamentus!A:U,12,FALSE)&lt;2,"Subvalorizada",IF(VLOOKUP(BM37,Fundamentus!A:U,12,FALSE)&lt;6,"Muita barata",IF(VLOOKUP(BM37,Fundamentus!A:U,12,FALSE)&lt;6,"Barata",IF(VLOOKUP(BM37,Fundamentus!A:U,12,FALSE)&lt;8,"Atrativa",IF(VLOOKUP(BM37,Fundamentus!A:U,12,FALSE)&gt;8,"Supervalorizada","n/a")))))</f>
        <v>Muita barata</v>
      </c>
      <c r="EQ37" s="2"/>
      <c r="ER37" s="17" t="str">
        <f>IF(VLOOKUP(BM37,Fundamentus!A:U,17,FALSE)&lt;0.1,"Fraco retorno",IF(VLOOKUP(BM37,Fundamentus!A:U,17,FALSE)&gt;0.1,"Bom retorno","n/a"))</f>
        <v>Fraco retorno</v>
      </c>
      <c r="ES37" s="17" t="str">
        <f>IF(VLOOKUP(BM37,Fundamentus!A:U,16,FALSE)&lt;0.1,"Ineficiente",IF(VLOOKUP(BM37,Fundamentus!A:U,16,FALSE)&gt;0.1,"Eficiente","n/a"))</f>
        <v>Ineficiente</v>
      </c>
      <c r="ET37" s="33" t="str">
        <f>IF(VLOOKUP(BM37,Fundamentus!A:U,16,FALSE)&lt;0.1,"Oper. Ineficiente",IF(VLOOKUP(BM37,Fundamentus!A:U,16,FALSE)&gt;0.1,"Oper.Eficiente","n/a"))</f>
        <v>Oper. Ineficiente</v>
      </c>
      <c r="EU37" s="34">
        <f>VLOOKUP(BM37,Fundamentus!A:U,14,FALSE)</f>
        <v>1.8200000000000001E-2</v>
      </c>
      <c r="EV37" s="17" t="str">
        <f>IF(VLOOKUP(BM37,Fundamentus!A:U,21,FALSE)&lt;0,"Negativo",IF(VLOOKUP(BM37,Fundamentus!A:U,21,FALSE)&lt;0.05,"Fraco",IF(VLOOKUP(BM37,Fundamentus!A:U,21,FALSE)&lt;0.1,"Bom",IF(VLOOKUP(BM37,Fundamentus!A:U,21,FALSE)&gt;0.1,"Muito bom","n/a"))))</f>
        <v>Muito bom</v>
      </c>
      <c r="EX37" s="29" t="str">
        <f>IF(VLOOKUP(BM37,Fundamentus!A:U,15,FALSE)&gt;1,"Bom",IF(VLOOKUP(BM37,Fundamentus!A:U,15,FALSE)&lt;1,"Ruim","n/a"))</f>
        <v>n/a</v>
      </c>
      <c r="EY37" s="17" t="str">
        <f>IF(VLOOKUP(BM37,Fundamentus!A:U,20,FALSE)&lt;0.5,"Baixa",IF(VLOOKUP(BM37,Fundamentus!A:U,20,FALSE)&lt;1,"Moderada",IF(VLOOKUP(BM37,Fundamentus!A:U,20,FALSE)&lt;2,"Alerta",IF(VLOOKUP(BM37,Fundamentus!A:U,20,FALSE)&gt;2,"Alta","n/a"))))</f>
        <v>Alerta</v>
      </c>
    </row>
    <row r="38" spans="1:155" s="2" customFormat="1" ht="11.25" x14ac:dyDescent="0.2">
      <c r="A38" s="4">
        <v>5.07</v>
      </c>
      <c r="B38" s="4">
        <v>5.12</v>
      </c>
      <c r="C38" s="4">
        <v>5.5</v>
      </c>
      <c r="D38" s="4">
        <v>5.33</v>
      </c>
      <c r="E38" s="4">
        <v>5.15</v>
      </c>
      <c r="F38" s="4">
        <v>5.14</v>
      </c>
      <c r="G38" s="4">
        <v>5.01</v>
      </c>
      <c r="H38" s="4">
        <v>5.0199999999999996</v>
      </c>
      <c r="I38" s="4">
        <v>5.23</v>
      </c>
      <c r="J38" s="4">
        <v>5.16</v>
      </c>
      <c r="K38" s="4">
        <v>5.09</v>
      </c>
      <c r="L38" s="4">
        <v>5</v>
      </c>
      <c r="M38" s="4">
        <v>5.03</v>
      </c>
      <c r="N38" s="4">
        <v>5.26</v>
      </c>
      <c r="O38" s="4">
        <v>5.3</v>
      </c>
      <c r="P38" s="4">
        <v>5.41</v>
      </c>
      <c r="Q38" s="4">
        <v>5.55</v>
      </c>
      <c r="R38" s="4">
        <v>5.4</v>
      </c>
      <c r="S38" s="4">
        <v>5.75</v>
      </c>
      <c r="T38" s="4">
        <v>6.08</v>
      </c>
      <c r="U38" s="4">
        <v>5.98</v>
      </c>
      <c r="V38" s="4">
        <v>5.68</v>
      </c>
      <c r="W38" s="4">
        <v>5.33</v>
      </c>
      <c r="X38" s="4">
        <v>5.24</v>
      </c>
      <c r="Y38" s="4">
        <v>5.26</v>
      </c>
      <c r="Z38" s="4">
        <v>5.19</v>
      </c>
      <c r="AA38" s="4">
        <v>5.01</v>
      </c>
      <c r="AB38" s="4">
        <v>4.97</v>
      </c>
      <c r="AC38" s="4">
        <v>5.0199999999999996</v>
      </c>
      <c r="AD38" s="4">
        <v>5.07</v>
      </c>
      <c r="AE38" s="4">
        <v>5.88</v>
      </c>
      <c r="AF38" s="4">
        <v>6.03</v>
      </c>
      <c r="AG38" s="4">
        <v>5.58</v>
      </c>
      <c r="AH38" s="4">
        <v>5.46</v>
      </c>
      <c r="AI38" s="4">
        <v>5.5</v>
      </c>
      <c r="AJ38" s="4">
        <v>5.3</v>
      </c>
      <c r="AK38" s="4">
        <v>5.16</v>
      </c>
      <c r="AL38" s="4">
        <v>5.0999999999999996</v>
      </c>
      <c r="AM38" s="4">
        <v>5.0599999999999996</v>
      </c>
      <c r="AN38" s="4">
        <v>5.15</v>
      </c>
      <c r="AO38" s="4">
        <v>5.4</v>
      </c>
      <c r="AP38" s="4">
        <v>5.6</v>
      </c>
      <c r="AQ38" s="4">
        <v>5.69</v>
      </c>
      <c r="AR38" s="4">
        <v>5.7</v>
      </c>
      <c r="AS38" s="4">
        <v>5.86</v>
      </c>
      <c r="AT38" s="4">
        <v>5.82</v>
      </c>
      <c r="AU38" s="4">
        <v>6.0350000000000001</v>
      </c>
      <c r="AV38" s="4">
        <v>5.6</v>
      </c>
      <c r="AW38" s="4">
        <v>5.73</v>
      </c>
      <c r="AX38" s="4">
        <v>5.44</v>
      </c>
      <c r="AY38" s="12">
        <v>5.67</v>
      </c>
      <c r="AZ38" s="12">
        <v>5.96</v>
      </c>
      <c r="BA38" s="12">
        <v>6.15</v>
      </c>
      <c r="BB38" s="15">
        <v>6.3</v>
      </c>
      <c r="BC38" s="52">
        <v>6.08</v>
      </c>
      <c r="BD38" s="52">
        <v>6.35</v>
      </c>
      <c r="BE38" s="52">
        <v>6.55</v>
      </c>
      <c r="BF38" s="52">
        <v>6.69</v>
      </c>
      <c r="BG38" s="67">
        <v>7.19</v>
      </c>
      <c r="BH38" s="52" t="s">
        <v>505</v>
      </c>
      <c r="BI38" s="52">
        <v>7.7</v>
      </c>
      <c r="BJ38" s="52">
        <v>7.97</v>
      </c>
      <c r="BK38" s="52">
        <v>7.89</v>
      </c>
      <c r="BL38" s="52" cm="1">
        <f t="array" aca="1" ref="BL38" ca="1">_FV(EC38,"Preço")</f>
        <v>7.89</v>
      </c>
      <c r="BM38" s="69" t="s">
        <v>35</v>
      </c>
      <c r="BN38" s="36" cm="1">
        <f t="array" aca="1" ref="BN38" ca="1">_FV(EC38,"Média de volume",TRUE)</f>
        <v>1413380</v>
      </c>
      <c r="BO38" s="36">
        <v>244500</v>
      </c>
      <c r="BP38" s="36" cm="1">
        <f t="array" aca="1" ref="BP38" ca="1">_FV(EC38,"Volume")</f>
        <v>244500</v>
      </c>
      <c r="BQ38" s="24" cm="1">
        <f t="array" aca="1" ref="BQ38" ca="1">_FV(EC38,"Beta")</f>
        <v>0.61980000000000002</v>
      </c>
      <c r="BR38" s="71" cm="1">
        <f t="array" aca="1" ref="BR38" ca="1">_FV(EC38,"Variação (%)",TRUE)</f>
        <v>3.9525999999999999E-2</v>
      </c>
      <c r="BT38" s="17" cm="1">
        <f t="array" aca="1" ref="BT38" ca="1">_FV(EC38,"Baixo")</f>
        <v>7.51</v>
      </c>
      <c r="BU38" s="17" cm="1">
        <f t="array" aca="1" ref="BU38" ca="1">_FV(EC38,"Alto")</f>
        <v>7.93</v>
      </c>
      <c r="BV38" s="24"/>
      <c r="BW38" s="63">
        <f ca="1">SQRT(22.5*(BL38/VLOOKUP(BM38,Fundamentus!A:U,3,FALSE))*(BL38/VLOOKUP(BM38,Fundamentus!A:U,4,FALSE)))</f>
        <v>18.433774418206109</v>
      </c>
      <c r="BY38" s="62">
        <f t="shared" ca="1" si="24"/>
        <v>0</v>
      </c>
      <c r="BZ38" s="8"/>
      <c r="CA38" s="61">
        <f t="shared" si="25"/>
        <v>4.97</v>
      </c>
      <c r="CB38" s="61">
        <f t="shared" si="26"/>
        <v>7.97</v>
      </c>
      <c r="CC38" s="61">
        <f t="shared" si="27"/>
        <v>5.6442741935483882</v>
      </c>
      <c r="CD38" s="14"/>
      <c r="CE38" s="35">
        <f t="shared" si="1"/>
        <v>6.8881473408945908</v>
      </c>
      <c r="CF38" s="15">
        <f t="shared" si="28"/>
        <v>7.853333333333353</v>
      </c>
      <c r="CG38" s="35">
        <f t="shared" si="2"/>
        <v>8.8185193257721153</v>
      </c>
      <c r="CI38" s="14"/>
      <c r="CJ38" s="17">
        <f t="shared" si="3"/>
        <v>2.9699999999999998</v>
      </c>
      <c r="CK38" s="17">
        <f t="shared" si="4"/>
        <v>3.9699999999999998</v>
      </c>
      <c r="CL38" s="17">
        <f t="shared" si="5"/>
        <v>5.97</v>
      </c>
      <c r="CM38" s="38">
        <f t="shared" si="29"/>
        <v>6.97</v>
      </c>
      <c r="CN38" s="17">
        <f t="shared" si="6"/>
        <v>8.9699999999999989</v>
      </c>
      <c r="CO38" s="17">
        <f t="shared" si="7"/>
        <v>9.9699999999999989</v>
      </c>
      <c r="CP38" s="17">
        <f t="shared" si="8"/>
        <v>11.969999999999999</v>
      </c>
      <c r="CQ38" s="2" cm="1">
        <f t="array" aca="1" ref="CQ38" ca="1">MAX(_xlfn._xlws.FILTER(CJ38:CP38,CJ38:CP38&lt;BL38))</f>
        <v>6.97</v>
      </c>
      <c r="CR38" s="2" cm="1">
        <f t="array" aca="1" ref="CR38" ca="1">MIN(_xlfn._xlws.FILTER($CJ38:$CP38,$CJ38:$CP38&gt;BL38))</f>
        <v>8.9699999999999989</v>
      </c>
      <c r="CS38" s="16">
        <f t="shared" ca="1" si="63"/>
        <v>0.28694404591104727</v>
      </c>
      <c r="CT38" s="20">
        <f t="shared" ca="1" si="64"/>
        <v>-0.14347202295552364</v>
      </c>
      <c r="CU38" s="20">
        <f t="shared" ca="1" si="65"/>
        <v>-9.5648015303682429E-2</v>
      </c>
      <c r="CV38" s="20">
        <f t="shared" ca="1" si="66"/>
        <v>-5.7388809182209455E-2</v>
      </c>
      <c r="CW38" s="20">
        <f t="shared" ca="1" si="67"/>
        <v>-3.1882671767894138E-2</v>
      </c>
      <c r="CX38" s="20">
        <f t="shared" ca="1" si="68"/>
        <v>-1.6879061524179253E-2</v>
      </c>
      <c r="CY38" s="20">
        <f t="shared" ca="1" si="69"/>
        <v>-8.6952741185165848E-3</v>
      </c>
      <c r="CZ38" s="20">
        <f t="shared" ca="1" si="70"/>
        <v>-4.4145237832468815E-3</v>
      </c>
      <c r="DA38" s="21">
        <f t="shared" ca="1" si="71"/>
        <v>4.4145237832468815E-3</v>
      </c>
      <c r="DB38" s="21">
        <f t="shared" ca="1" si="72"/>
        <v>8.6952741185165848E-3</v>
      </c>
      <c r="DC38" s="21">
        <f t="shared" ca="1" si="73"/>
        <v>1.6879061524179253E-2</v>
      </c>
      <c r="DD38" s="21">
        <f t="shared" ca="1" si="74"/>
        <v>3.1882671767894138E-2</v>
      </c>
      <c r="DE38" s="21">
        <f t="shared" ca="1" si="75"/>
        <v>5.7388809182209455E-2</v>
      </c>
      <c r="DF38" s="21">
        <f t="shared" ca="1" si="76"/>
        <v>9.5648015303682429E-2</v>
      </c>
      <c r="DG38" s="21">
        <f t="shared" ca="1" si="77"/>
        <v>0.14347202295552364</v>
      </c>
      <c r="DI38" s="16" cm="1">
        <f t="array" aca="1" ref="DI38" ca="1">MAX(_xlfn._xlws.FILTER(CT38:DG38,CT38:DG38&lt;BR38))</f>
        <v>3.1882671767894138E-2</v>
      </c>
      <c r="DJ38" s="16" cm="1">
        <f t="array" aca="1" ref="DJ38" ca="1">MIN(_xlfn._xlws.FILTER(CT38:DG38,CT38:DG38&gt;BR38))</f>
        <v>5.7388809182209455E-2</v>
      </c>
      <c r="DK38" s="2" cm="1">
        <f t="array" aca="1" ref="DK38" ca="1">_FV(EC38,"Fechamento anterior",TRUE)</f>
        <v>7.59</v>
      </c>
      <c r="DL38" s="28">
        <f t="shared" ca="1" si="15"/>
        <v>0.29965415019762692</v>
      </c>
      <c r="DM38" s="15">
        <f t="shared" ca="1" si="78"/>
        <v>7.8319894787183166</v>
      </c>
      <c r="DN38" s="15">
        <f t="shared" ca="1" si="79"/>
        <v>8.0255810616929697</v>
      </c>
      <c r="DO38" s="9"/>
      <c r="DP38" s="9"/>
      <c r="DQ38" s="9"/>
      <c r="DR38" s="89">
        <v>5.5401202571013861E-3</v>
      </c>
      <c r="DS38" s="89">
        <v>2.0396210163652027E-2</v>
      </c>
      <c r="DT38" s="89">
        <v>4.2807503352697033E-3</v>
      </c>
      <c r="DU38" s="89">
        <v>2.5506137414315316E-2</v>
      </c>
      <c r="DV38" s="89">
        <f t="shared" ca="1" si="18"/>
        <v>2.5506137414315316E-2</v>
      </c>
      <c r="DW38" s="72">
        <f t="shared" ca="1" si="19"/>
        <v>3.7989223790950342E-2</v>
      </c>
      <c r="DX38" s="37"/>
      <c r="DY38" s="35">
        <f t="shared" si="39"/>
        <v>0.48259299621938129</v>
      </c>
      <c r="DZ38" s="56"/>
      <c r="EA38" s="56"/>
      <c r="EC38" s="2" t="e" vm="38">
        <v>#VALUE!</v>
      </c>
      <c r="EE38" s="10" cm="1">
        <f t="array" aca="1" ref="EE38" ca="1">_FV(EC38,"Ações em circulação",TRUE)</f>
        <v>1511206000</v>
      </c>
      <c r="EF38" s="18">
        <f>VLOOKUP(BM38,Fundamentus!A:U,5,FALSE)</f>
        <v>1.5620000000000001</v>
      </c>
      <c r="EG38" s="2">
        <f t="shared" ca="1" si="20"/>
        <v>7633428514.7247114</v>
      </c>
      <c r="EH38" s="17">
        <v>2605289152.0755439</v>
      </c>
      <c r="EI38" s="17">
        <f t="shared" ca="1" si="21"/>
        <v>2605289152.0755439</v>
      </c>
      <c r="EK38" s="16">
        <f t="shared" ca="1" si="22"/>
        <v>0</v>
      </c>
      <c r="EL38" s="32" t="str">
        <f>IF(VLOOKUP(BM38,Fundamentus!A:U,3,FALSE)&lt;15,"Bom",IF(VLOOKUP(BM38,Fundamentus!A:U,3,FALSE)&gt;15,"Ruim","n/a"))</f>
        <v>Bom</v>
      </c>
      <c r="EM38" s="28" t="str">
        <f>IF(VLOOKUP(BM38,Fundamentus!A:U,4,FALSE)&lt;1,"Baixo",IF(VLOOKUP(BM38,Fundamentus!A:U,4,FALSE)&lt;1.5,"Moderado",IF(VLOOKUP(BM38,Fundamentus!A:U,4,FALSE)&gt;1.5,"Alto","n/a")))</f>
        <v>Baixo</v>
      </c>
      <c r="EN38" s="17" t="str">
        <f>IF(VLOOKUP(BM38,Fundamentus!A:U,8,FALSE)&lt;0,"Risco elevado",IF(VLOOKUP(BM38,Fundamentus!A:U,8,FALSE)&lt;1,"Saudável",IF(VLOOKUP(BM38,Fundamentus!A:U,8,FALSE)&lt;3,"Estável",IF(VLOOKUP(BM38,Fundamentus!A:U,8,FALSE)&gt;3,"Alerta","n/a"))))</f>
        <v>Alerta</v>
      </c>
      <c r="EO38" s="28" t="str">
        <f t="shared" si="23"/>
        <v>Bom</v>
      </c>
      <c r="EP38" s="17" t="str">
        <f>IF(VLOOKUP(BM38,Fundamentus!A:U,12,FALSE)&lt;2,"Subvalorizada",IF(VLOOKUP(BM38,Fundamentus!A:U,12,FALSE)&lt;6,"Muita barata",IF(VLOOKUP(BM38,Fundamentus!A:U,12,FALSE)&lt;6,"Barata",IF(VLOOKUP(BM38,Fundamentus!A:U,12,FALSE)&lt;8,"Atrativa",IF(VLOOKUP(BM38,Fundamentus!A:U,12,FALSE)&gt;8,"Supervalorizada","n/a")))))</f>
        <v>Atrativa</v>
      </c>
      <c r="ER38" s="17" t="str">
        <f>IF(VLOOKUP(BM38,Fundamentus!A:U,17,FALSE)&lt;0.1,"Fraco retorno",IF(VLOOKUP(BM38,Fundamentus!A:U,17,FALSE)&gt;0.1,"Bom retorno","n/a"))</f>
        <v>Bom retorno</v>
      </c>
      <c r="ES38" s="17" t="str">
        <f>IF(VLOOKUP(BM38,Fundamentus!A:U,16,FALSE)&lt;0.1,"Ineficiente",IF(VLOOKUP(BM38,Fundamentus!A:U,16,FALSE)&gt;0.1,"Eficiente","n/a"))</f>
        <v>Ineficiente</v>
      </c>
      <c r="ET38" s="33" t="str">
        <f>IF(VLOOKUP(BM38,Fundamentus!A:U,16,FALSE)&lt;0.1,"Oper. Ineficiente",IF(VLOOKUP(BM38,Fundamentus!A:U,16,FALSE)&gt;0.1,"Oper.Eficiente","n/a"))</f>
        <v>Oper. Ineficiente</v>
      </c>
      <c r="EU38" s="34">
        <f>VLOOKUP(BM38,Fundamentus!A:U,14,FALSE)</f>
        <v>0.34129999999999999</v>
      </c>
      <c r="EV38" s="17" t="str">
        <f>IF(VLOOKUP(BM38,Fundamentus!A:U,21,FALSE)&lt;0,"Negativo",IF(VLOOKUP(BM38,Fundamentus!A:U,21,FALSE)&lt;0.05,"Fraco",IF(VLOOKUP(BM38,Fundamentus!A:U,21,FALSE)&lt;0.1,"Bom",IF(VLOOKUP(BM38,Fundamentus!A:U,21,FALSE)&gt;0.1,"Muito bom","n/a"))))</f>
        <v>Bom</v>
      </c>
      <c r="EX38" s="29" t="str">
        <f>IF(VLOOKUP(BM38,Fundamentus!A:U,15,FALSE)&gt;1,"Bom",IF(VLOOKUP(BM38,Fundamentus!A:U,15,FALSE)&lt;1,"Ruim","n/a"))</f>
        <v>Bom</v>
      </c>
      <c r="EY38" s="17" t="str">
        <f>IF(VLOOKUP(BM38,Fundamentus!A:U,20,FALSE)&lt;0.5,"Baixa",IF(VLOOKUP(BM38,Fundamentus!A:U,20,FALSE)&lt;1,"Moderada",IF(VLOOKUP(BM38,Fundamentus!A:U,20,FALSE)&lt;2,"Alerta",IF(VLOOKUP(BM38,Fundamentus!A:U,20,FALSE)&gt;2,"Alta","n/a"))))</f>
        <v>Moderada</v>
      </c>
    </row>
    <row r="39" spans="1:155" s="2" customFormat="1" ht="11.25" x14ac:dyDescent="0.2">
      <c r="A39" s="4">
        <v>22.69</v>
      </c>
      <c r="B39" s="4">
        <v>22.15</v>
      </c>
      <c r="C39" s="4">
        <v>22.05</v>
      </c>
      <c r="D39" s="4">
        <v>22.1</v>
      </c>
      <c r="E39" s="4">
        <v>21.57</v>
      </c>
      <c r="F39" s="4">
        <v>21.04</v>
      </c>
      <c r="G39" s="4">
        <v>20.96</v>
      </c>
      <c r="H39" s="4">
        <v>20.93</v>
      </c>
      <c r="I39" s="4">
        <v>22.17</v>
      </c>
      <c r="J39" s="4">
        <v>22.48</v>
      </c>
      <c r="K39" s="4">
        <v>23.2</v>
      </c>
      <c r="L39" s="4">
        <v>22.59</v>
      </c>
      <c r="M39" s="4">
        <v>22.36</v>
      </c>
      <c r="N39" s="4">
        <v>22.75</v>
      </c>
      <c r="O39" s="4">
        <v>23.13</v>
      </c>
      <c r="P39" s="4">
        <v>22.7</v>
      </c>
      <c r="Q39" s="4">
        <v>23.55</v>
      </c>
      <c r="R39" s="4">
        <v>23.25</v>
      </c>
      <c r="S39" s="4">
        <v>23.01</v>
      </c>
      <c r="T39" s="4">
        <v>23.5</v>
      </c>
      <c r="U39" s="4">
        <v>22.65</v>
      </c>
      <c r="V39" s="4">
        <v>21.84</v>
      </c>
      <c r="W39" s="4">
        <v>21.55</v>
      </c>
      <c r="X39" s="4">
        <v>21.22</v>
      </c>
      <c r="Y39" s="4">
        <v>21.25</v>
      </c>
      <c r="Z39" s="4">
        <v>21.35</v>
      </c>
      <c r="AA39" s="4">
        <v>20.67</v>
      </c>
      <c r="AB39" s="4">
        <v>20.57</v>
      </c>
      <c r="AC39" s="4">
        <v>20.72</v>
      </c>
      <c r="AD39" s="4">
        <v>20.89</v>
      </c>
      <c r="AE39" s="4">
        <v>20.23</v>
      </c>
      <c r="AF39" s="4">
        <v>19.989999999999998</v>
      </c>
      <c r="AG39" s="4">
        <v>20.7</v>
      </c>
      <c r="AH39" s="4">
        <v>20.25</v>
      </c>
      <c r="AI39" s="4">
        <v>20.75</v>
      </c>
      <c r="AJ39" s="4">
        <v>18.989999999999998</v>
      </c>
      <c r="AK39" s="4">
        <v>19.04</v>
      </c>
      <c r="AL39" s="4">
        <v>19.55</v>
      </c>
      <c r="AM39" s="4">
        <v>19.55</v>
      </c>
      <c r="AN39" s="4">
        <v>20.170000000000002</v>
      </c>
      <c r="AO39" s="4">
        <v>20.96</v>
      </c>
      <c r="AP39" s="4">
        <v>20.23</v>
      </c>
      <c r="AQ39" s="4">
        <v>20.13</v>
      </c>
      <c r="AR39" s="4">
        <v>19.72</v>
      </c>
      <c r="AS39" s="4">
        <v>20.010000000000002</v>
      </c>
      <c r="AT39" s="4">
        <v>20.94</v>
      </c>
      <c r="AU39" s="4">
        <v>20.350000000000001</v>
      </c>
      <c r="AV39" s="4">
        <v>20.77</v>
      </c>
      <c r="AW39" s="4">
        <v>19.97</v>
      </c>
      <c r="AX39" s="4">
        <v>19.28</v>
      </c>
      <c r="AY39" s="12">
        <v>19.79</v>
      </c>
      <c r="AZ39" s="12">
        <v>21.37</v>
      </c>
      <c r="BA39" s="12">
        <v>21.7</v>
      </c>
      <c r="BB39" s="15">
        <v>21.49</v>
      </c>
      <c r="BC39" s="52">
        <v>21.68</v>
      </c>
      <c r="BD39" s="52">
        <v>21.41</v>
      </c>
      <c r="BE39" s="52">
        <v>20.95</v>
      </c>
      <c r="BF39" s="52">
        <v>21.44</v>
      </c>
      <c r="BG39" s="67">
        <v>21.06</v>
      </c>
      <c r="BH39" s="52">
        <v>21.36</v>
      </c>
      <c r="BI39" s="52">
        <v>22.2</v>
      </c>
      <c r="BJ39" s="52">
        <v>21.64</v>
      </c>
      <c r="BK39" s="52">
        <v>20.98</v>
      </c>
      <c r="BL39" s="52" cm="1">
        <f t="array" aca="1" ref="BL39" ca="1">_FV(EC39,"Preço")</f>
        <v>20.98</v>
      </c>
      <c r="BM39" s="69" t="s">
        <v>36</v>
      </c>
      <c r="BN39" s="36" cm="1">
        <f t="array" aca="1" ref="BN39" ca="1">_FV(EC39,"Média de volume",TRUE)</f>
        <v>906290</v>
      </c>
      <c r="BO39" s="36">
        <v>527300</v>
      </c>
      <c r="BP39" s="36" cm="1">
        <f t="array" aca="1" ref="BP39" ca="1">_FV(EC39,"Volume")</f>
        <v>527300</v>
      </c>
      <c r="BQ39" s="24" cm="1">
        <f t="array" aca="1" ref="BQ39" ca="1">_FV(EC39,"Beta")</f>
        <v>0.92130000000000001</v>
      </c>
      <c r="BR39" s="71" cm="1">
        <f t="array" aca="1" ref="BR39" ca="1">_FV(EC39,"Variação (%)",TRUE)</f>
        <v>-5.6870000000000002E-3</v>
      </c>
      <c r="BT39" s="17" cm="1">
        <f t="array" aca="1" ref="BT39" ca="1">_FV(EC39,"Baixo")</f>
        <v>20.93</v>
      </c>
      <c r="BU39" s="17" cm="1">
        <f t="array" aca="1" ref="BU39" ca="1">_FV(EC39,"Alto")</f>
        <v>21.19</v>
      </c>
      <c r="BV39" s="24"/>
      <c r="BW39" s="63">
        <f ca="1">SQRT(22.5*(BL39/VLOOKUP(BM39,Fundamentus!A:U,3,FALSE))*(BL39/VLOOKUP(BM39,Fundamentus!A:U,4,FALSE)))</f>
        <v>48.375326965088369</v>
      </c>
      <c r="BY39" s="62">
        <f t="shared" ca="1" si="24"/>
        <v>0</v>
      </c>
      <c r="BZ39" s="8"/>
      <c r="CA39" s="61">
        <f t="shared" si="25"/>
        <v>18.989999999999998</v>
      </c>
      <c r="CB39" s="61">
        <f t="shared" si="26"/>
        <v>23.55</v>
      </c>
      <c r="CC39" s="61">
        <f t="shared" si="27"/>
        <v>21.262539682539686</v>
      </c>
      <c r="CD39" s="14"/>
      <c r="CE39" s="35">
        <f t="shared" si="1"/>
        <v>20.651819602096705</v>
      </c>
      <c r="CF39" s="15">
        <f t="shared" si="28"/>
        <v>21.460000000000264</v>
      </c>
      <c r="CG39" s="35">
        <f t="shared" si="2"/>
        <v>22.268180397903823</v>
      </c>
      <c r="CI39" s="14"/>
      <c r="CJ39" s="17">
        <f t="shared" si="3"/>
        <v>14.676666666666666</v>
      </c>
      <c r="CK39" s="17">
        <f t="shared" si="4"/>
        <v>16.833333333333332</v>
      </c>
      <c r="CL39" s="17">
        <f t="shared" si="5"/>
        <v>19.236666666666668</v>
      </c>
      <c r="CM39" s="38">
        <f t="shared" si="29"/>
        <v>21.393333333333334</v>
      </c>
      <c r="CN39" s="17">
        <f t="shared" si="6"/>
        <v>23.79666666666667</v>
      </c>
      <c r="CO39" s="17">
        <f t="shared" si="7"/>
        <v>25.953333333333337</v>
      </c>
      <c r="CP39" s="17">
        <f t="shared" si="8"/>
        <v>28.356666666666673</v>
      </c>
      <c r="CQ39" s="2" cm="1">
        <f t="array" aca="1" ref="CQ39" ca="1">MAX(_xlfn._xlws.FILTER(CJ39:CP39,CJ39:CP39&lt;BL39))</f>
        <v>19.236666666666668</v>
      </c>
      <c r="CR39" s="2" cm="1">
        <f t="array" aca="1" ref="CR39" ca="1">MIN(_xlfn._xlws.FILTER($CJ39:$CP39,$CJ39:$CP39&gt;BL39))</f>
        <v>21.393333333333334</v>
      </c>
      <c r="CS39" s="16">
        <f t="shared" ca="1" si="63"/>
        <v>0.1121122855657597</v>
      </c>
      <c r="CT39" s="20">
        <f t="shared" ca="1" si="64"/>
        <v>-5.6056142782879848E-2</v>
      </c>
      <c r="CU39" s="20">
        <f t="shared" ca="1" si="65"/>
        <v>-3.7370761855253232E-2</v>
      </c>
      <c r="CV39" s="20">
        <f t="shared" ca="1" si="66"/>
        <v>-2.2422457113151939E-2</v>
      </c>
      <c r="CW39" s="20">
        <f t="shared" ca="1" si="67"/>
        <v>-1.2456920618417744E-2</v>
      </c>
      <c r="CX39" s="20">
        <f t="shared" ca="1" si="68"/>
        <v>-6.5948403273976292E-3</v>
      </c>
      <c r="CY39" s="20">
        <f t="shared" ca="1" si="69"/>
        <v>-3.3973419868412028E-3</v>
      </c>
      <c r="CZ39" s="20">
        <f t="shared" ca="1" si="70"/>
        <v>-1.72480439331938E-3</v>
      </c>
      <c r="DA39" s="21">
        <f t="shared" ca="1" si="71"/>
        <v>1.72480439331938E-3</v>
      </c>
      <c r="DB39" s="21">
        <f t="shared" ca="1" si="72"/>
        <v>3.3973419868412028E-3</v>
      </c>
      <c r="DC39" s="21">
        <f t="shared" ca="1" si="73"/>
        <v>6.5948403273976292E-3</v>
      </c>
      <c r="DD39" s="21">
        <f t="shared" ca="1" si="74"/>
        <v>1.2456920618417744E-2</v>
      </c>
      <c r="DE39" s="21">
        <f t="shared" ca="1" si="75"/>
        <v>2.2422457113151939E-2</v>
      </c>
      <c r="DF39" s="21">
        <f t="shared" ca="1" si="76"/>
        <v>3.7370761855253232E-2</v>
      </c>
      <c r="DG39" s="21">
        <f t="shared" ca="1" si="77"/>
        <v>5.6056142782879848E-2</v>
      </c>
      <c r="DI39" s="16" cm="1">
        <f t="array" aca="1" ref="DI39" ca="1">MAX(_xlfn._xlws.FILTER(CT39:DG39,CT39:DG39&lt;BR39))</f>
        <v>-6.5948403273976292E-3</v>
      </c>
      <c r="DJ39" s="16" cm="1">
        <f t="array" aca="1" ref="DJ39" ca="1">MIN(_xlfn._xlws.FILTER(CT39:DG39,CT39:DG39&gt;BR39))</f>
        <v>-3.3973419868412028E-3</v>
      </c>
      <c r="DK39" s="2" cm="1">
        <f t="array" aca="1" ref="DK39" ca="1">_FV(EC39,"Fechamento anterior",TRUE)</f>
        <v>21.1</v>
      </c>
      <c r="DL39" s="28">
        <f t="shared" ca="1" si="15"/>
        <v>0.28385832899930047</v>
      </c>
      <c r="DM39" s="15">
        <f t="shared" ca="1" si="78"/>
        <v>20.960848869091912</v>
      </c>
      <c r="DN39" s="15">
        <f t="shared" ca="1" si="79"/>
        <v>21.028316084077652</v>
      </c>
      <c r="DO39" s="9"/>
      <c r="DP39" s="9"/>
      <c r="DQ39" s="9"/>
      <c r="DR39" s="89">
        <v>2.5845361171934486E-3</v>
      </c>
      <c r="DS39" s="89">
        <v>6.5186109810856348E-3</v>
      </c>
      <c r="DT39" s="89">
        <v>3.2040012242750869E-3</v>
      </c>
      <c r="DU39" s="89">
        <v>3.1974983405564264E-3</v>
      </c>
      <c r="DV39" s="89">
        <f t="shared" ca="1" si="18"/>
        <v>3.1974983405564264E-3</v>
      </c>
      <c r="DW39" s="72">
        <f t="shared" ca="1" si="19"/>
        <v>-0.59392680303233758</v>
      </c>
      <c r="DX39" s="37"/>
      <c r="DY39" s="35">
        <f t="shared" si="39"/>
        <v>0.40409019895177961</v>
      </c>
      <c r="DZ39" s="56"/>
      <c r="EA39" s="56"/>
      <c r="EC39" s="2" t="e" vm="39">
        <v>#VALUE!</v>
      </c>
      <c r="EE39" s="10" cm="1">
        <f t="array" aca="1" ref="EE39" ca="1">_FV(EC39,"Ações em circulação",TRUE)</f>
        <v>121695200</v>
      </c>
      <c r="EF39" s="18">
        <f>VLOOKUP(BM39,Fundamentus!A:U,5,FALSE)</f>
        <v>0</v>
      </c>
      <c r="EG39" s="2" t="e">
        <f t="shared" ca="1" si="20"/>
        <v>#DIV/0!</v>
      </c>
      <c r="EH39" s="17" t="e">
        <v>#DIV/0!</v>
      </c>
      <c r="EI39" s="17" t="e">
        <f t="shared" ca="1" si="21"/>
        <v>#DIV/0!</v>
      </c>
      <c r="EK39" s="16" t="e">
        <f t="shared" ca="1" si="22"/>
        <v>#DIV/0!</v>
      </c>
      <c r="EL39" s="32" t="str">
        <f>IF(VLOOKUP(BM39,Fundamentus!A:U,3,FALSE)&lt;15,"Bom",IF(VLOOKUP(BM39,Fundamentus!A:U,3,FALSE)&gt;15,"Ruim","n/a"))</f>
        <v>Bom</v>
      </c>
      <c r="EM39" s="28" t="str">
        <f>IF(VLOOKUP(BM39,Fundamentus!A:U,4,FALSE)&lt;1,"Baixo",IF(VLOOKUP(BM39,Fundamentus!A:U,4,FALSE)&lt;1.5,"Moderado",IF(VLOOKUP(BM39,Fundamentus!A:U,4,FALSE)&gt;1.5,"Alto","n/a")))</f>
        <v>Baixo</v>
      </c>
      <c r="EN39" s="17" t="str">
        <f>IF(VLOOKUP(BM39,Fundamentus!A:U,8,FALSE)&lt;0,"Risco elevado",IF(VLOOKUP(BM39,Fundamentus!A:U,8,FALSE)&lt;1,"Saudável",IF(VLOOKUP(BM39,Fundamentus!A:U,8,FALSE)&lt;3,"Estável",IF(VLOOKUP(BM39,Fundamentus!A:U,8,FALSE)&gt;3,"Alerta","n/a"))))</f>
        <v>Saudável</v>
      </c>
      <c r="EO39" s="28" t="str">
        <f t="shared" si="23"/>
        <v>Ruim</v>
      </c>
      <c r="EP39" s="17" t="str">
        <f>IF(VLOOKUP(BM39,Fundamentus!A:U,12,FALSE)&lt;2,"Subvalorizada",IF(VLOOKUP(BM39,Fundamentus!A:U,12,FALSE)&lt;6,"Muita barata",IF(VLOOKUP(BM39,Fundamentus!A:U,12,FALSE)&lt;6,"Barata",IF(VLOOKUP(BM39,Fundamentus!A:U,12,FALSE)&lt;8,"Atrativa",IF(VLOOKUP(BM39,Fundamentus!A:U,12,FALSE)&gt;8,"Supervalorizada","n/a")))))</f>
        <v>Subvalorizada</v>
      </c>
      <c r="ER39" s="17" t="str">
        <f>IF(VLOOKUP(BM39,Fundamentus!A:U,17,FALSE)&lt;0.1,"Fraco retorno",IF(VLOOKUP(BM39,Fundamentus!A:U,17,FALSE)&gt;0.1,"Bom retorno","n/a"))</f>
        <v>Bom retorno</v>
      </c>
      <c r="ES39" s="17" t="str">
        <f>IF(VLOOKUP(BM39,Fundamentus!A:U,16,FALSE)&lt;0.1,"Ineficiente",IF(VLOOKUP(BM39,Fundamentus!A:U,16,FALSE)&gt;0.1,"Eficiente","n/a"))</f>
        <v>Ineficiente</v>
      </c>
      <c r="ET39" s="33" t="str">
        <f>IF(VLOOKUP(BM39,Fundamentus!A:U,16,FALSE)&lt;0.1,"Oper. Ineficiente",IF(VLOOKUP(BM39,Fundamentus!A:U,16,FALSE)&gt;0.1,"Oper.Eficiente","n/a"))</f>
        <v>Oper. Ineficiente</v>
      </c>
      <c r="EU39" s="34">
        <f>VLOOKUP(BM39,Fundamentus!A:U,14,FALSE)</f>
        <v>0</v>
      </c>
      <c r="EV39" s="17" t="str">
        <f>IF(VLOOKUP(BM39,Fundamentus!A:U,21,FALSE)&lt;0,"Negativo",IF(VLOOKUP(BM39,Fundamentus!A:U,21,FALSE)&lt;0.05,"Fraco",IF(VLOOKUP(BM39,Fundamentus!A:U,21,FALSE)&lt;0.1,"Bom",IF(VLOOKUP(BM39,Fundamentus!A:U,21,FALSE)&gt;0.1,"Muito bom","n/a"))))</f>
        <v>Muito bom</v>
      </c>
      <c r="EX39" s="29" t="str">
        <f>IF(VLOOKUP(BM39,Fundamentus!A:U,15,FALSE)&gt;1,"Bom",IF(VLOOKUP(BM39,Fundamentus!A:U,15,FALSE)&lt;1,"Ruim","n/a"))</f>
        <v>Ruim</v>
      </c>
      <c r="EY39" s="17" t="str">
        <f>IF(VLOOKUP(BM39,Fundamentus!A:U,20,FALSE)&lt;0.5,"Baixa",IF(VLOOKUP(BM39,Fundamentus!A:U,20,FALSE)&lt;1,"Moderada",IF(VLOOKUP(BM39,Fundamentus!A:U,20,FALSE)&lt;2,"Alerta",IF(VLOOKUP(BM39,Fundamentus!A:U,20,FALSE)&gt;2,"Alta","n/a"))))</f>
        <v>Baixa</v>
      </c>
    </row>
    <row r="40" spans="1:155" s="2" customFormat="1" ht="11.25" x14ac:dyDescent="0.2">
      <c r="A40" s="4">
        <v>12.57</v>
      </c>
      <c r="B40" s="4">
        <v>11.19</v>
      </c>
      <c r="C40" s="4">
        <v>11.57</v>
      </c>
      <c r="D40" s="4">
        <v>11.17</v>
      </c>
      <c r="E40" s="4">
        <v>10.89</v>
      </c>
      <c r="F40" s="4">
        <v>10.98</v>
      </c>
      <c r="G40" s="4">
        <v>11</v>
      </c>
      <c r="H40" s="4">
        <v>10.99</v>
      </c>
      <c r="I40" s="4">
        <v>11.35</v>
      </c>
      <c r="J40" s="4">
        <v>11.53</v>
      </c>
      <c r="K40" s="4">
        <v>11.8</v>
      </c>
      <c r="L40" s="4">
        <v>11.7</v>
      </c>
      <c r="M40" s="4">
        <v>11.46</v>
      </c>
      <c r="N40" s="4">
        <v>11.2</v>
      </c>
      <c r="O40" s="4">
        <v>11.54</v>
      </c>
      <c r="P40" s="4">
        <v>12.22</v>
      </c>
      <c r="Q40" s="4">
        <v>12.59</v>
      </c>
      <c r="R40" s="4">
        <v>12.56</v>
      </c>
      <c r="S40" s="4">
        <v>12.67</v>
      </c>
      <c r="T40" s="4">
        <v>12.33</v>
      </c>
      <c r="U40" s="4">
        <v>11.73</v>
      </c>
      <c r="V40" s="4">
        <v>11.5</v>
      </c>
      <c r="W40" s="4">
        <v>11.31</v>
      </c>
      <c r="X40" s="4">
        <v>11.14</v>
      </c>
      <c r="Y40" s="4">
        <v>11.06</v>
      </c>
      <c r="Z40" s="4">
        <v>11.09</v>
      </c>
      <c r="AA40" s="4">
        <v>11.2</v>
      </c>
      <c r="AB40" s="4">
        <v>11.14</v>
      </c>
      <c r="AC40" s="4">
        <v>10.6</v>
      </c>
      <c r="AD40" s="4">
        <v>10.9</v>
      </c>
      <c r="AE40" s="4">
        <v>10.88</v>
      </c>
      <c r="AF40" s="4">
        <v>10.199999999999999</v>
      </c>
      <c r="AG40" s="4">
        <v>10.17</v>
      </c>
      <c r="AH40" s="4">
        <v>9.7100000000000009</v>
      </c>
      <c r="AI40" s="4">
        <v>9.99</v>
      </c>
      <c r="AJ40" s="4">
        <v>9.57</v>
      </c>
      <c r="AK40" s="4">
        <v>9.65</v>
      </c>
      <c r="AL40" s="4">
        <v>9.75</v>
      </c>
      <c r="AM40" s="4">
        <v>9.92</v>
      </c>
      <c r="AN40" s="4">
        <v>10.36</v>
      </c>
      <c r="AO40" s="4">
        <v>10.42</v>
      </c>
      <c r="AP40" s="4">
        <v>10.3</v>
      </c>
      <c r="AQ40" s="4">
        <v>10.67</v>
      </c>
      <c r="AR40" s="4">
        <v>10.8</v>
      </c>
      <c r="AS40" s="4">
        <v>11.1</v>
      </c>
      <c r="AT40" s="4">
        <v>11.17</v>
      </c>
      <c r="AU40" s="4">
        <v>11.115</v>
      </c>
      <c r="AV40" s="4">
        <v>10.94</v>
      </c>
      <c r="AW40" s="4">
        <v>10.76</v>
      </c>
      <c r="AX40" s="4">
        <v>10.48</v>
      </c>
      <c r="AY40" s="12">
        <v>10.66</v>
      </c>
      <c r="AZ40" s="12">
        <v>11.25</v>
      </c>
      <c r="BA40" s="12">
        <v>11.5</v>
      </c>
      <c r="BB40" s="15">
        <v>11.76</v>
      </c>
      <c r="BC40" s="52">
        <v>13</v>
      </c>
      <c r="BD40" s="52">
        <v>12.22</v>
      </c>
      <c r="BE40" s="52">
        <v>12.01</v>
      </c>
      <c r="BF40" s="52">
        <v>11.76</v>
      </c>
      <c r="BG40" s="67">
        <v>11.44</v>
      </c>
      <c r="BH40" s="52">
        <v>11.63</v>
      </c>
      <c r="BI40" s="52">
        <v>11.4</v>
      </c>
      <c r="BJ40" s="52">
        <v>11.67</v>
      </c>
      <c r="BK40" s="52">
        <v>11.18</v>
      </c>
      <c r="BL40" s="52" cm="1">
        <f t="array" aca="1" ref="BL40" ca="1">_FV(EC40,"Preço")</f>
        <v>11.18</v>
      </c>
      <c r="BM40" s="69" t="s">
        <v>37</v>
      </c>
      <c r="BN40" s="36" cm="1">
        <f t="array" aca="1" ref="BN40" ca="1">_FV(EC40,"Média de volume",TRUE)</f>
        <v>931330</v>
      </c>
      <c r="BO40" s="36">
        <v>757400</v>
      </c>
      <c r="BP40" s="36" cm="1">
        <f t="array" aca="1" ref="BP40" ca="1">_FV(EC40,"Volume")</f>
        <v>757400</v>
      </c>
      <c r="BQ40" s="24" cm="1">
        <f t="array" aca="1" ref="BQ40" ca="1">_FV(EC40,"Beta")</f>
        <v>1.0901000000000001</v>
      </c>
      <c r="BR40" s="71" cm="1">
        <f t="array" aca="1" ref="BR40" ca="1">_FV(EC40,"Variação (%)",TRUE)</f>
        <v>9.025E-3</v>
      </c>
      <c r="BT40" s="17" cm="1">
        <f t="array" aca="1" ref="BT40" ca="1">_FV(EC40,"Baixo")</f>
        <v>11.04</v>
      </c>
      <c r="BU40" s="17" cm="1">
        <f t="array" aca="1" ref="BU40" ca="1">_FV(EC40,"Alto")</f>
        <v>11.24</v>
      </c>
      <c r="BV40" s="24"/>
      <c r="BW40" s="63">
        <f ca="1">SQRT(22.5*(BL40/VLOOKUP(BM40,Fundamentus!A:U,3,FALSE))*(BL40/VLOOKUP(BM40,Fundamentus!A:U,4,FALSE)))</f>
        <v>35.971060371707289</v>
      </c>
      <c r="BY40" s="62">
        <f t="shared" ca="1" si="24"/>
        <v>0</v>
      </c>
      <c r="BZ40" s="8"/>
      <c r="CA40" s="61">
        <f t="shared" si="25"/>
        <v>9.57</v>
      </c>
      <c r="CB40" s="61">
        <f t="shared" si="26"/>
        <v>13</v>
      </c>
      <c r="CC40" s="61">
        <f t="shared" si="27"/>
        <v>11.181190476190476</v>
      </c>
      <c r="CD40" s="14"/>
      <c r="CE40" s="35">
        <f t="shared" si="1"/>
        <v>11.0258433363094</v>
      </c>
      <c r="CF40" s="15">
        <f t="shared" si="28"/>
        <v>11.416000000000054</v>
      </c>
      <c r="CG40" s="35">
        <f t="shared" si="2"/>
        <v>11.806156663690707</v>
      </c>
      <c r="CI40" s="14"/>
      <c r="CJ40" s="17">
        <f t="shared" si="3"/>
        <v>6.3966666666666683</v>
      </c>
      <c r="CK40" s="17">
        <f t="shared" si="4"/>
        <v>7.9833333333333343</v>
      </c>
      <c r="CL40" s="17">
        <f t="shared" si="5"/>
        <v>9.826666666666668</v>
      </c>
      <c r="CM40" s="38">
        <f t="shared" si="29"/>
        <v>11.413333333333334</v>
      </c>
      <c r="CN40" s="17">
        <f t="shared" si="6"/>
        <v>13.256666666666668</v>
      </c>
      <c r="CO40" s="17">
        <f t="shared" si="7"/>
        <v>14.843333333333334</v>
      </c>
      <c r="CP40" s="17">
        <f t="shared" si="8"/>
        <v>16.686666666666667</v>
      </c>
      <c r="CQ40" s="2" cm="1">
        <f t="array" aca="1" ref="CQ40" ca="1">MAX(_xlfn._xlws.FILTER(CJ40:CP40,CJ40:CP40&lt;BL40))</f>
        <v>9.826666666666668</v>
      </c>
      <c r="CR40" s="2" cm="1">
        <f t="array" aca="1" ref="CR40" ca="1">MIN(_xlfn._xlws.FILTER($CJ40:$CP40,$CJ40:$CP40&gt;BL40))</f>
        <v>11.413333333333334</v>
      </c>
      <c r="CS40" s="16">
        <f t="shared" ca="1" si="63"/>
        <v>0.16146540027137024</v>
      </c>
      <c r="CT40" s="20">
        <f t="shared" ca="1" si="64"/>
        <v>-8.073270013568512E-2</v>
      </c>
      <c r="CU40" s="20">
        <f t="shared" ca="1" si="65"/>
        <v>-5.3821800090456749E-2</v>
      </c>
      <c r="CV40" s="20">
        <f t="shared" ca="1" si="66"/>
        <v>-3.2293080054274045E-2</v>
      </c>
      <c r="CW40" s="20">
        <f t="shared" ca="1" si="67"/>
        <v>-1.794060003015225E-2</v>
      </c>
      <c r="CX40" s="20">
        <f t="shared" ca="1" si="68"/>
        <v>-9.4979647218453086E-3</v>
      </c>
      <c r="CY40" s="20">
        <f t="shared" ca="1" si="69"/>
        <v>-4.8928909173142493E-3</v>
      </c>
      <c r="CZ40" s="20">
        <f t="shared" ca="1" si="70"/>
        <v>-2.4840830810980035E-3</v>
      </c>
      <c r="DA40" s="21">
        <f t="shared" ca="1" si="71"/>
        <v>2.4840830810980035E-3</v>
      </c>
      <c r="DB40" s="21">
        <f t="shared" ca="1" si="72"/>
        <v>4.8928909173142493E-3</v>
      </c>
      <c r="DC40" s="21">
        <f t="shared" ca="1" si="73"/>
        <v>9.4979647218453086E-3</v>
      </c>
      <c r="DD40" s="21">
        <f t="shared" ca="1" si="74"/>
        <v>1.794060003015225E-2</v>
      </c>
      <c r="DE40" s="21">
        <f t="shared" ca="1" si="75"/>
        <v>3.2293080054274045E-2</v>
      </c>
      <c r="DF40" s="21">
        <f t="shared" ca="1" si="76"/>
        <v>5.3821800090456749E-2</v>
      </c>
      <c r="DG40" s="21">
        <f t="shared" ca="1" si="77"/>
        <v>8.073270013568512E-2</v>
      </c>
      <c r="DI40" s="16" cm="1">
        <f t="array" aca="1" ref="DI40" ca="1">MAX(_xlfn._xlws.FILTER(CT40:DG40,CT40:DG40&lt;BR40))</f>
        <v>4.8928909173142493E-3</v>
      </c>
      <c r="DJ40" s="16" cm="1">
        <f t="array" aca="1" ref="DJ40" ca="1">MIN(_xlfn._xlws.FILTER(CT40:DG40,CT40:DG40&gt;BR40))</f>
        <v>9.4979647218453086E-3</v>
      </c>
      <c r="DK40" s="2" cm="1">
        <f t="array" aca="1" ref="DK40" ca="1">_FV(EC40,"Fechamento anterior",TRUE)</f>
        <v>11.08</v>
      </c>
      <c r="DL40" s="28">
        <f t="shared" ca="1" si="15"/>
        <v>0.89735366168126329</v>
      </c>
      <c r="DM40" s="15">
        <f t="shared" ca="1" si="78"/>
        <v>11.134213231363843</v>
      </c>
      <c r="DN40" s="15">
        <f t="shared" ca="1" si="79"/>
        <v>11.185237449118047</v>
      </c>
      <c r="DO40" s="9"/>
      <c r="DP40" s="9"/>
      <c r="DQ40" s="9"/>
      <c r="DR40" s="89">
        <v>5.6302263473578173E-3</v>
      </c>
      <c r="DS40" s="89">
        <v>1.3852134992975926E-2</v>
      </c>
      <c r="DT40" s="89">
        <v>4.9694464414090592E-3</v>
      </c>
      <c r="DU40" s="89">
        <v>4.6050738045310593E-3</v>
      </c>
      <c r="DV40" s="89">
        <f t="shared" ca="1" si="18"/>
        <v>4.6050738045310593E-3</v>
      </c>
      <c r="DW40" s="72">
        <f t="shared" ca="1" si="19"/>
        <v>-0.6048852216636057</v>
      </c>
      <c r="DX40" s="37"/>
      <c r="DY40" s="35">
        <f t="shared" si="39"/>
        <v>0.19507833184532719</v>
      </c>
      <c r="DZ40" s="56"/>
      <c r="EA40" s="56"/>
      <c r="EC40" s="2" t="e" vm="40">
        <v>#VALUE!</v>
      </c>
      <c r="EE40" s="10" cm="1">
        <f t="array" aca="1" ref="EE40" ca="1">_FV(EC40,"Ações em circulação",TRUE)</f>
        <v>408974500</v>
      </c>
      <c r="EF40" s="18">
        <f>VLOOKUP(BM40,Fundamentus!A:U,5,FALSE)</f>
        <v>0</v>
      </c>
      <c r="EG40" s="2" t="e">
        <f t="shared" ca="1" si="20"/>
        <v>#DIV/0!</v>
      </c>
      <c r="EH40" s="17" t="e">
        <v>#DIV/0!</v>
      </c>
      <c r="EI40" s="17" t="e">
        <f t="shared" ca="1" si="21"/>
        <v>#DIV/0!</v>
      </c>
      <c r="EK40" s="16" t="e">
        <f t="shared" ca="1" si="22"/>
        <v>#DIV/0!</v>
      </c>
      <c r="EL40" s="32" t="str">
        <f>IF(VLOOKUP(BM40,Fundamentus!A:U,3,FALSE)&lt;15,"Bom",IF(VLOOKUP(BM40,Fundamentus!A:U,3,FALSE)&gt;15,"Ruim","n/a"))</f>
        <v>Bom</v>
      </c>
      <c r="EM40" s="28" t="str">
        <f>IF(VLOOKUP(BM40,Fundamentus!A:U,4,FALSE)&lt;1,"Baixo",IF(VLOOKUP(BM40,Fundamentus!A:U,4,FALSE)&lt;1.5,"Moderado",IF(VLOOKUP(BM40,Fundamentus!A:U,4,FALSE)&gt;1.5,"Alto","n/a")))</f>
        <v>Baixo</v>
      </c>
      <c r="EN40" s="17" t="str">
        <f>IF(VLOOKUP(BM40,Fundamentus!A:U,8,FALSE)&lt;0,"Risco elevado",IF(VLOOKUP(BM40,Fundamentus!A:U,8,FALSE)&lt;1,"Saudável",IF(VLOOKUP(BM40,Fundamentus!A:U,8,FALSE)&lt;3,"Estável",IF(VLOOKUP(BM40,Fundamentus!A:U,8,FALSE)&gt;3,"Alerta","n/a"))))</f>
        <v>Saudável</v>
      </c>
      <c r="EO40" s="28" t="str">
        <f t="shared" si="23"/>
        <v>Ruim</v>
      </c>
      <c r="EP40" s="17" t="str">
        <f>IF(VLOOKUP(BM40,Fundamentus!A:U,12,FALSE)&lt;2,"Subvalorizada",IF(VLOOKUP(BM40,Fundamentus!A:U,12,FALSE)&lt;6,"Muita barata",IF(VLOOKUP(BM40,Fundamentus!A:U,12,FALSE)&lt;6,"Barata",IF(VLOOKUP(BM40,Fundamentus!A:U,12,FALSE)&lt;8,"Atrativa",IF(VLOOKUP(BM40,Fundamentus!A:U,12,FALSE)&gt;8,"Supervalorizada","n/a")))))</f>
        <v>Subvalorizada</v>
      </c>
      <c r="ER40" s="17" t="str">
        <f>IF(VLOOKUP(BM40,Fundamentus!A:U,17,FALSE)&lt;0.1,"Fraco retorno",IF(VLOOKUP(BM40,Fundamentus!A:U,17,FALSE)&gt;0.1,"Bom retorno","n/a"))</f>
        <v>Fraco retorno</v>
      </c>
      <c r="ES40" s="17" t="str">
        <f>IF(VLOOKUP(BM40,Fundamentus!A:U,16,FALSE)&lt;0.1,"Ineficiente",IF(VLOOKUP(BM40,Fundamentus!A:U,16,FALSE)&gt;0.1,"Eficiente","n/a"))</f>
        <v>Ineficiente</v>
      </c>
      <c r="ET40" s="33" t="str">
        <f>IF(VLOOKUP(BM40,Fundamentus!A:U,16,FALSE)&lt;0.1,"Oper. Ineficiente",IF(VLOOKUP(BM40,Fundamentus!A:U,16,FALSE)&gt;0.1,"Oper.Eficiente","n/a"))</f>
        <v>Oper. Ineficiente</v>
      </c>
      <c r="EU40" s="34">
        <f>VLOOKUP(BM40,Fundamentus!A:U,14,FALSE)</f>
        <v>0</v>
      </c>
      <c r="EV40" s="17" t="str">
        <f>IF(VLOOKUP(BM40,Fundamentus!A:U,21,FALSE)&lt;0,"Negativo",IF(VLOOKUP(BM40,Fundamentus!A:U,21,FALSE)&lt;0.05,"Fraco",IF(VLOOKUP(BM40,Fundamentus!A:U,21,FALSE)&lt;0.1,"Bom",IF(VLOOKUP(BM40,Fundamentus!A:U,21,FALSE)&gt;0.1,"Muito bom","n/a"))))</f>
        <v>Fraco</v>
      </c>
      <c r="EX40" s="29" t="str">
        <f>IF(VLOOKUP(BM40,Fundamentus!A:U,15,FALSE)&gt;1,"Bom",IF(VLOOKUP(BM40,Fundamentus!A:U,15,FALSE)&lt;1,"Ruim","n/a"))</f>
        <v>Ruim</v>
      </c>
      <c r="EY40" s="17" t="str">
        <f>IF(VLOOKUP(BM40,Fundamentus!A:U,20,FALSE)&lt;0.5,"Baixa",IF(VLOOKUP(BM40,Fundamentus!A:U,20,FALSE)&lt;1,"Moderada",IF(VLOOKUP(BM40,Fundamentus!A:U,20,FALSE)&lt;2,"Alerta",IF(VLOOKUP(BM40,Fundamentus!A:U,20,FALSE)&gt;2,"Alta","n/a"))))</f>
        <v>Baixa</v>
      </c>
    </row>
    <row r="41" spans="1:155" s="2" customFormat="1" ht="11.25" x14ac:dyDescent="0.2">
      <c r="A41" s="4">
        <v>16.75</v>
      </c>
      <c r="B41" s="4">
        <v>16.41</v>
      </c>
      <c r="C41" s="4">
        <v>16.09</v>
      </c>
      <c r="D41" s="4">
        <v>15.85</v>
      </c>
      <c r="E41" s="4">
        <v>15.4</v>
      </c>
      <c r="F41" s="4">
        <v>15.06</v>
      </c>
      <c r="G41" s="4">
        <v>14.55</v>
      </c>
      <c r="H41" s="4">
        <v>14.63</v>
      </c>
      <c r="I41" s="4">
        <v>15.2</v>
      </c>
      <c r="J41" s="4">
        <v>15.56</v>
      </c>
      <c r="K41" s="4">
        <v>16.14</v>
      </c>
      <c r="L41" s="4">
        <v>15.81</v>
      </c>
      <c r="M41" s="4">
        <v>16.18</v>
      </c>
      <c r="N41" s="4">
        <v>16.12</v>
      </c>
      <c r="O41" s="4">
        <v>16.329999999999998</v>
      </c>
      <c r="P41" s="4">
        <v>16.7</v>
      </c>
      <c r="Q41" s="4">
        <v>17.3</v>
      </c>
      <c r="R41" s="4">
        <v>17.2</v>
      </c>
      <c r="S41" s="4">
        <v>16.7</v>
      </c>
      <c r="T41" s="4">
        <v>17</v>
      </c>
      <c r="U41" s="4">
        <v>16.95</v>
      </c>
      <c r="V41" s="4">
        <v>17.239999999999998</v>
      </c>
      <c r="W41" s="4">
        <v>16.7</v>
      </c>
      <c r="X41" s="4">
        <v>16.25</v>
      </c>
      <c r="Y41" s="4">
        <v>16.05</v>
      </c>
      <c r="Z41" s="4">
        <v>15.94</v>
      </c>
      <c r="AA41" s="4">
        <v>15.8</v>
      </c>
      <c r="AB41" s="4">
        <v>15.8</v>
      </c>
      <c r="AC41" s="4">
        <v>15.8</v>
      </c>
      <c r="AD41" s="4">
        <v>15.75</v>
      </c>
      <c r="AE41" s="4">
        <v>15.77</v>
      </c>
      <c r="AF41" s="4">
        <v>16.46</v>
      </c>
      <c r="AG41" s="4">
        <v>16.38</v>
      </c>
      <c r="AH41" s="4">
        <v>16.16</v>
      </c>
      <c r="AI41" s="4">
        <v>16.329999999999998</v>
      </c>
      <c r="AJ41" s="4">
        <v>16.48</v>
      </c>
      <c r="AK41" s="4">
        <v>16.32</v>
      </c>
      <c r="AL41" s="4">
        <v>16.489999999999998</v>
      </c>
      <c r="AM41" s="4">
        <v>16.760000000000002</v>
      </c>
      <c r="AN41" s="4">
        <v>16.97</v>
      </c>
      <c r="AO41" s="4">
        <v>16.7</v>
      </c>
      <c r="AP41" s="4">
        <v>16.88</v>
      </c>
      <c r="AQ41" s="4">
        <v>16.8</v>
      </c>
      <c r="AR41" s="4">
        <v>16.559999999999999</v>
      </c>
      <c r="AS41" s="4">
        <v>16.96</v>
      </c>
      <c r="AT41" s="4">
        <v>17.350000000000001</v>
      </c>
      <c r="AU41" s="4">
        <v>17.399999999999999</v>
      </c>
      <c r="AV41" s="4">
        <v>17.100000000000001</v>
      </c>
      <c r="AW41" s="4">
        <v>17.03</v>
      </c>
      <c r="AX41" s="4">
        <v>17.12</v>
      </c>
      <c r="AY41" s="12">
        <v>17.100000000000001</v>
      </c>
      <c r="AZ41" s="12">
        <v>17.190000000000001</v>
      </c>
      <c r="BA41" s="12">
        <v>17.13</v>
      </c>
      <c r="BB41" s="15">
        <v>17.440000000000001</v>
      </c>
      <c r="BC41" s="52">
        <v>17.309999999999999</v>
      </c>
      <c r="BD41" s="52">
        <v>17.489999999999998</v>
      </c>
      <c r="BE41" s="52">
        <v>17.37</v>
      </c>
      <c r="BF41" s="52">
        <v>17.37</v>
      </c>
      <c r="BG41" s="67">
        <v>17.440000000000001</v>
      </c>
      <c r="BH41" s="52">
        <v>17.5</v>
      </c>
      <c r="BI41" s="52">
        <v>17.45</v>
      </c>
      <c r="BJ41" s="52">
        <v>17.5</v>
      </c>
      <c r="BK41" s="52">
        <v>17.5</v>
      </c>
      <c r="BL41" s="52" cm="1">
        <f t="array" aca="1" ref="BL41" ca="1">_FV(EC41,"Preço")</f>
        <v>17.5</v>
      </c>
      <c r="BM41" s="69" t="s">
        <v>38</v>
      </c>
      <c r="BN41" s="36" cm="1">
        <f t="array" aca="1" ref="BN41" ca="1">_FV(EC41,"Média de volume",TRUE)</f>
        <v>925070</v>
      </c>
      <c r="BO41" s="36">
        <v>2378100</v>
      </c>
      <c r="BP41" s="36" cm="1">
        <f t="array" aca="1" ref="BP41" ca="1">_FV(EC41,"Volume")</f>
        <v>2378100</v>
      </c>
      <c r="BQ41" s="24" cm="1">
        <f t="array" aca="1" ref="BQ41" ca="1">_FV(EC41,"Beta")</f>
        <v>1.0783</v>
      </c>
      <c r="BR41" s="71" cm="1">
        <f t="array" aca="1" ref="BR41" ca="1">_FV(EC41,"Variação (%)",TRUE)</f>
        <v>1.1440000000000001E-3</v>
      </c>
      <c r="BT41" s="17" cm="1">
        <f t="array" aca="1" ref="BT41" ca="1">_FV(EC41,"Baixo")</f>
        <v>17.47</v>
      </c>
      <c r="BU41" s="17" cm="1">
        <f t="array" aca="1" ref="BU41" ca="1">_FV(EC41,"Alto")</f>
        <v>17.510000000000002</v>
      </c>
      <c r="BV41" s="24"/>
      <c r="BW41" s="63">
        <f ca="1">SQRT(22.5*(BL41/VLOOKUP(BM41,Fundamentus!A:U,3,FALSE))*(BL41/VLOOKUP(BM41,Fundamentus!A:U,4,FALSE)))</f>
        <v>13.526615646754314</v>
      </c>
      <c r="BY41" s="62">
        <f t="shared" ca="1" si="24"/>
        <v>0</v>
      </c>
      <c r="BZ41" s="8"/>
      <c r="CA41" s="61">
        <f t="shared" si="25"/>
        <v>14.55</v>
      </c>
      <c r="CB41" s="61">
        <f t="shared" si="26"/>
        <v>17.5</v>
      </c>
      <c r="CC41" s="61">
        <f t="shared" si="27"/>
        <v>16.556666666666668</v>
      </c>
      <c r="CD41" s="14"/>
      <c r="CE41" s="35">
        <f t="shared" si="1"/>
        <v>17.395483687474947</v>
      </c>
      <c r="CF41" s="15">
        <f t="shared" si="28"/>
        <v>17.489999999999998</v>
      </c>
      <c r="CG41" s="35">
        <f t="shared" si="2"/>
        <v>17.58451631252505</v>
      </c>
      <c r="CI41" s="14"/>
      <c r="CJ41" s="17">
        <f t="shared" si="3"/>
        <v>12.583333333333332</v>
      </c>
      <c r="CK41" s="17">
        <f t="shared" si="4"/>
        <v>13.566666666666666</v>
      </c>
      <c r="CL41" s="17">
        <f t="shared" si="5"/>
        <v>15.533333333333331</v>
      </c>
      <c r="CM41" s="38">
        <f t="shared" si="29"/>
        <v>16.516666666666666</v>
      </c>
      <c r="CN41" s="17">
        <f t="shared" si="6"/>
        <v>18.483333333333331</v>
      </c>
      <c r="CO41" s="17">
        <f t="shared" si="7"/>
        <v>19.466666666666665</v>
      </c>
      <c r="CP41" s="17">
        <f t="shared" si="8"/>
        <v>21.43333333333333</v>
      </c>
      <c r="CQ41" s="2" cm="1">
        <f t="array" aca="1" ref="CQ41" ca="1">MAX(_xlfn._xlws.FILTER(CJ41:CP41,CJ41:CP41&lt;BL41))</f>
        <v>16.516666666666666</v>
      </c>
      <c r="CR41" s="2" cm="1">
        <f t="array" aca="1" ref="CR41" ca="1">MIN(_xlfn._xlws.FILTER($CJ41:$CP41,$CJ41:$CP41&gt;BL41))</f>
        <v>18.483333333333331</v>
      </c>
      <c r="CS41" s="16">
        <f t="shared" ca="1" si="63"/>
        <v>0.11907164480322896</v>
      </c>
      <c r="CT41" s="20">
        <f t="shared" ca="1" si="64"/>
        <v>-5.953582240161448E-2</v>
      </c>
      <c r="CU41" s="20">
        <f t="shared" ca="1" si="65"/>
        <v>-3.9690548267742987E-2</v>
      </c>
      <c r="CV41" s="20">
        <f t="shared" ca="1" si="66"/>
        <v>-2.3814328960645791E-2</v>
      </c>
      <c r="CW41" s="20">
        <f t="shared" ca="1" si="67"/>
        <v>-1.3230182755914329E-2</v>
      </c>
      <c r="CX41" s="20">
        <f t="shared" ca="1" si="68"/>
        <v>-7.0042144001899384E-3</v>
      </c>
      <c r="CY41" s="20">
        <f t="shared" ca="1" si="69"/>
        <v>-3.6082316607039078E-3</v>
      </c>
      <c r="CZ41" s="20">
        <f t="shared" ca="1" si="70"/>
        <v>-1.8318714585112148E-3</v>
      </c>
      <c r="DA41" s="21">
        <f t="shared" ca="1" si="71"/>
        <v>1.8318714585112148E-3</v>
      </c>
      <c r="DB41" s="21">
        <f t="shared" ca="1" si="72"/>
        <v>3.6082316607039078E-3</v>
      </c>
      <c r="DC41" s="21">
        <f t="shared" ca="1" si="73"/>
        <v>7.0042144001899384E-3</v>
      </c>
      <c r="DD41" s="21">
        <f t="shared" ca="1" si="74"/>
        <v>1.3230182755914329E-2</v>
      </c>
      <c r="DE41" s="21">
        <f t="shared" ca="1" si="75"/>
        <v>2.3814328960645791E-2</v>
      </c>
      <c r="DF41" s="21">
        <f t="shared" ca="1" si="76"/>
        <v>3.9690548267742987E-2</v>
      </c>
      <c r="DG41" s="21">
        <f t="shared" ca="1" si="77"/>
        <v>5.953582240161448E-2</v>
      </c>
      <c r="DI41" s="16" cm="1">
        <f t="array" aca="1" ref="DI41" ca="1">MAX(_xlfn._xlws.FILTER(CT41:DG41,CT41:DG41&lt;BR41))</f>
        <v>-1.8318714585112148E-3</v>
      </c>
      <c r="DJ41" s="16" cm="1">
        <f t="array" aca="1" ref="DJ41" ca="1">MIN(_xlfn._xlws.FILTER(CT41:DG41,CT41:DG41&gt;BR41))</f>
        <v>1.8318714585112148E-3</v>
      </c>
      <c r="DK41" s="2" cm="1">
        <f t="array" aca="1" ref="DK41" ca="1">_FV(EC41,"Fechamento anterior",TRUE)</f>
        <v>17.48</v>
      </c>
      <c r="DL41" s="28">
        <f t="shared" ca="1" si="15"/>
        <v>0.81229395338014054</v>
      </c>
      <c r="DM41" s="15">
        <f t="shared" ca="1" si="78"/>
        <v>17.447978886905226</v>
      </c>
      <c r="DN41" s="15">
        <f t="shared" ca="1" si="79"/>
        <v>17.512021113094775</v>
      </c>
      <c r="DO41" s="9"/>
      <c r="DP41" s="9"/>
      <c r="DQ41" s="9"/>
      <c r="DR41" s="89">
        <v>3.2415217494127084E-3</v>
      </c>
      <c r="DS41" s="89">
        <v>3.6253964305702404E-3</v>
      </c>
      <c r="DT41" s="89">
        <v>3.6637429170224296E-3</v>
      </c>
      <c r="DU41" s="89">
        <v>3.6637429170224296E-3</v>
      </c>
      <c r="DV41" s="89">
        <f t="shared" ca="1" si="18"/>
        <v>3.6637429170224296E-3</v>
      </c>
      <c r="DW41" s="72">
        <f t="shared" ca="1" si="19"/>
        <v>0.10580184237880685</v>
      </c>
      <c r="DX41" s="37"/>
      <c r="DY41" s="35">
        <f t="shared" si="39"/>
        <v>4.7258156262525705E-2</v>
      </c>
      <c r="DZ41" s="56"/>
      <c r="EA41" s="56"/>
      <c r="EC41" s="2" t="e" vm="41">
        <v>#VALUE!</v>
      </c>
      <c r="EE41" s="10" cm="1">
        <f t="array" aca="1" ref="EE41" ca="1">_FV(EC41,"Ações em circulação",TRUE)</f>
        <v>440977900</v>
      </c>
      <c r="EF41" s="18">
        <f>VLOOKUP(BM41,Fundamentus!A:U,5,FALSE)</f>
        <v>2.52</v>
      </c>
      <c r="EG41" s="2">
        <f t="shared" ca="1" si="20"/>
        <v>3062346527.7777777</v>
      </c>
      <c r="EH41" s="17">
        <v>580008432.36111116</v>
      </c>
      <c r="EI41" s="17">
        <f t="shared" ca="1" si="21"/>
        <v>580008432.36111116</v>
      </c>
      <c r="EK41" s="16">
        <f t="shared" ca="1" si="22"/>
        <v>0</v>
      </c>
      <c r="EL41" s="32" t="str">
        <f>IF(VLOOKUP(BM41,Fundamentus!A:U,3,FALSE)&lt;15,"Bom",IF(VLOOKUP(BM41,Fundamentus!A:U,3,FALSE)&gt;15,"Ruim","n/a"))</f>
        <v>Bom</v>
      </c>
      <c r="EM41" s="28" t="str">
        <f>IF(VLOOKUP(BM41,Fundamentus!A:U,4,FALSE)&lt;1,"Baixo",IF(VLOOKUP(BM41,Fundamentus!A:U,4,FALSE)&lt;1.5,"Moderado",IF(VLOOKUP(BM41,Fundamentus!A:U,4,FALSE)&gt;1.5,"Alto","n/a")))</f>
        <v>Alto</v>
      </c>
      <c r="EN41" s="17" t="str">
        <f>IF(VLOOKUP(BM41,Fundamentus!A:U,8,FALSE)&lt;0,"Risco elevado",IF(VLOOKUP(BM41,Fundamentus!A:U,8,FALSE)&lt;1,"Saudável",IF(VLOOKUP(BM41,Fundamentus!A:U,8,FALSE)&lt;3,"Estável",IF(VLOOKUP(BM41,Fundamentus!A:U,8,FALSE)&gt;3,"Alerta","n/a"))))</f>
        <v>Alerta</v>
      </c>
      <c r="EO41" s="28" t="str">
        <f t="shared" si="23"/>
        <v>Bom</v>
      </c>
      <c r="EP41" s="17" t="str">
        <f>IF(VLOOKUP(BM41,Fundamentus!A:U,12,FALSE)&lt;2,"Subvalorizada",IF(VLOOKUP(BM41,Fundamentus!A:U,12,FALSE)&lt;6,"Muita barata",IF(VLOOKUP(BM41,Fundamentus!A:U,12,FALSE)&lt;6,"Barata",IF(VLOOKUP(BM41,Fundamentus!A:U,12,FALSE)&lt;8,"Atrativa",IF(VLOOKUP(BM41,Fundamentus!A:U,12,FALSE)&gt;8,"Supervalorizada","n/a")))))</f>
        <v>Atrativa</v>
      </c>
      <c r="ER41" s="17" t="str">
        <f>IF(VLOOKUP(BM41,Fundamentus!A:U,17,FALSE)&lt;0.1,"Fraco retorno",IF(VLOOKUP(BM41,Fundamentus!A:U,17,FALSE)&gt;0.1,"Bom retorno","n/a"))</f>
        <v>Bom retorno</v>
      </c>
      <c r="ES41" s="17" t="str">
        <f>IF(VLOOKUP(BM41,Fundamentus!A:U,16,FALSE)&lt;0.1,"Ineficiente",IF(VLOOKUP(BM41,Fundamentus!A:U,16,FALSE)&gt;0.1,"Eficiente","n/a"))</f>
        <v>Eficiente</v>
      </c>
      <c r="ET41" s="33" t="str">
        <f>IF(VLOOKUP(BM41,Fundamentus!A:U,16,FALSE)&lt;0.1,"Oper. Ineficiente",IF(VLOOKUP(BM41,Fundamentus!A:U,16,FALSE)&gt;0.1,"Oper.Eficiente","n/a"))</f>
        <v>Oper.Eficiente</v>
      </c>
      <c r="EU41" s="34">
        <f>VLOOKUP(BM41,Fundamentus!A:U,14,FALSE)</f>
        <v>0.18940000000000001</v>
      </c>
      <c r="EV41" s="17" t="str">
        <f>IF(VLOOKUP(BM41,Fundamentus!A:U,21,FALSE)&lt;0,"Negativo",IF(VLOOKUP(BM41,Fundamentus!A:U,21,FALSE)&lt;0.05,"Fraco",IF(VLOOKUP(BM41,Fundamentus!A:U,21,FALSE)&lt;0.1,"Bom",IF(VLOOKUP(BM41,Fundamentus!A:U,21,FALSE)&gt;0.1,"Muito bom","n/a"))))</f>
        <v>Fraco</v>
      </c>
      <c r="EX41" s="29" t="str">
        <f>IF(VLOOKUP(BM41,Fundamentus!A:U,15,FALSE)&gt;1,"Bom",IF(VLOOKUP(BM41,Fundamentus!A:U,15,FALSE)&lt;1,"Ruim","n/a"))</f>
        <v>Bom</v>
      </c>
      <c r="EY41" s="17" t="str">
        <f>IF(VLOOKUP(BM41,Fundamentus!A:U,20,FALSE)&lt;0.5,"Baixa",IF(VLOOKUP(BM41,Fundamentus!A:U,20,FALSE)&lt;1,"Moderada",IF(VLOOKUP(BM41,Fundamentus!A:U,20,FALSE)&lt;2,"Alerta",IF(VLOOKUP(BM41,Fundamentus!A:U,20,FALSE)&gt;2,"Alta","n/a"))))</f>
        <v>Moderada</v>
      </c>
    </row>
    <row r="42" spans="1:155" s="2" customFormat="1" ht="11.25" x14ac:dyDescent="0.2">
      <c r="A42" s="4">
        <v>4.68</v>
      </c>
      <c r="B42" s="4">
        <v>4.54</v>
      </c>
      <c r="C42" s="4">
        <v>4.57</v>
      </c>
      <c r="D42" s="4">
        <v>4.4800000000000004</v>
      </c>
      <c r="E42" s="4">
        <v>4.25</v>
      </c>
      <c r="F42" s="4">
        <v>4.18</v>
      </c>
      <c r="G42" s="4">
        <v>4.05</v>
      </c>
      <c r="H42" s="4">
        <v>4.13</v>
      </c>
      <c r="I42" s="4">
        <v>4.1399999999999997</v>
      </c>
      <c r="J42" s="4">
        <v>4.46</v>
      </c>
      <c r="K42" s="4">
        <v>4.32</v>
      </c>
      <c r="L42" s="4">
        <v>4.2300000000000004</v>
      </c>
      <c r="M42" s="4">
        <v>4.17</v>
      </c>
      <c r="N42" s="4">
        <v>4.21</v>
      </c>
      <c r="O42" s="4">
        <v>4.3</v>
      </c>
      <c r="P42" s="4">
        <v>4.51</v>
      </c>
      <c r="Q42" s="4">
        <v>4.99</v>
      </c>
      <c r="R42" s="4">
        <v>4.8600000000000003</v>
      </c>
      <c r="S42" s="4">
        <v>4.82</v>
      </c>
      <c r="T42" s="4">
        <v>4.84</v>
      </c>
      <c r="U42" s="4">
        <v>4.9400000000000004</v>
      </c>
      <c r="V42" s="4">
        <v>4.74</v>
      </c>
      <c r="W42" s="4">
        <v>4.97</v>
      </c>
      <c r="X42" s="4">
        <v>4.88</v>
      </c>
      <c r="Y42" s="4">
        <v>4.7</v>
      </c>
      <c r="Z42" s="4">
        <v>4.68</v>
      </c>
      <c r="AA42" s="4">
        <v>4.5199999999999996</v>
      </c>
      <c r="AB42" s="4">
        <v>4.5999999999999996</v>
      </c>
      <c r="AC42" s="4">
        <v>4.47</v>
      </c>
      <c r="AD42" s="4">
        <v>4.5599999999999996</v>
      </c>
      <c r="AE42" s="4">
        <v>4.54</v>
      </c>
      <c r="AF42" s="4">
        <v>4.53</v>
      </c>
      <c r="AG42" s="4">
        <v>4.3499999999999996</v>
      </c>
      <c r="AH42" s="4">
        <v>4.05</v>
      </c>
      <c r="AI42" s="4">
        <v>4.3499999999999996</v>
      </c>
      <c r="AJ42" s="4">
        <v>4.34</v>
      </c>
      <c r="AK42" s="4">
        <v>4.25</v>
      </c>
      <c r="AL42" s="4">
        <v>4.4000000000000004</v>
      </c>
      <c r="AM42" s="4">
        <v>4.38</v>
      </c>
      <c r="AN42" s="4">
        <v>4.45</v>
      </c>
      <c r="AO42" s="4">
        <v>4.38</v>
      </c>
      <c r="AP42" s="4">
        <v>4.3899999999999997</v>
      </c>
      <c r="AQ42" s="4">
        <v>4.25</v>
      </c>
      <c r="AR42" s="4">
        <v>4.3600000000000003</v>
      </c>
      <c r="AS42" s="4">
        <v>4.47</v>
      </c>
      <c r="AT42" s="4">
        <v>4.4800000000000004</v>
      </c>
      <c r="AU42" s="4">
        <v>4.46</v>
      </c>
      <c r="AV42" s="4">
        <v>4.4400000000000004</v>
      </c>
      <c r="AW42" s="4">
        <v>4.3099999999999996</v>
      </c>
      <c r="AX42" s="4">
        <v>4.33</v>
      </c>
      <c r="AY42" s="12">
        <v>4.3</v>
      </c>
      <c r="AZ42" s="12">
        <v>4.51</v>
      </c>
      <c r="BA42" s="12">
        <v>4.8</v>
      </c>
      <c r="BB42" s="15">
        <v>4.95</v>
      </c>
      <c r="BC42" s="52">
        <v>5.3</v>
      </c>
      <c r="BD42" s="52">
        <v>5.3</v>
      </c>
      <c r="BE42" s="52">
        <v>5.3</v>
      </c>
      <c r="BF42" s="52">
        <v>5.18</v>
      </c>
      <c r="BG42" s="67">
        <v>5.68</v>
      </c>
      <c r="BH42" s="52">
        <v>6</v>
      </c>
      <c r="BI42" s="52">
        <v>5.86</v>
      </c>
      <c r="BJ42" s="52">
        <v>5.9</v>
      </c>
      <c r="BK42" s="52">
        <v>6.07</v>
      </c>
      <c r="BL42" s="52" cm="1">
        <f t="array" aca="1" ref="BL42" ca="1">_FV(EC42,"Preço")</f>
        <v>6.07</v>
      </c>
      <c r="BM42" s="69" t="s">
        <v>39</v>
      </c>
      <c r="BN42" s="36" cm="1">
        <f t="array" aca="1" ref="BN42" ca="1">_FV(EC42,"Média de volume",TRUE)</f>
        <v>223470</v>
      </c>
      <c r="BO42" s="36">
        <v>104600</v>
      </c>
      <c r="BP42" s="36" cm="1">
        <f t="array" aca="1" ref="BP42" ca="1">_FV(EC42,"Volume")</f>
        <v>104600</v>
      </c>
      <c r="BQ42" s="24" cm="1">
        <f t="array" aca="1" ref="BQ42" ca="1">_FV(EC42,"Beta")</f>
        <v>1.2614000000000001</v>
      </c>
      <c r="BR42" s="71" cm="1">
        <f t="array" aca="1" ref="BR42" ca="1">_FV(EC42,"Variação (%)",TRUE)</f>
        <v>2.0167999999999998E-2</v>
      </c>
      <c r="BT42" s="17" cm="1">
        <f t="array" aca="1" ref="BT42" ca="1">_FV(EC42,"Baixo")</f>
        <v>5.92</v>
      </c>
      <c r="BU42" s="17" cm="1">
        <f t="array" aca="1" ref="BU42" ca="1">_FV(EC42,"Alto")</f>
        <v>6.07</v>
      </c>
      <c r="BV42" s="24"/>
      <c r="BW42" s="63">
        <f ca="1">SQRT(22.5*(BL42/VLOOKUP(BM42,Fundamentus!A:U,3,FALSE))*(BL42/VLOOKUP(BM42,Fundamentus!A:U,4,FALSE)))</f>
        <v>12.321391803180195</v>
      </c>
      <c r="BY42" s="62">
        <f t="shared" ca="1" si="24"/>
        <v>0</v>
      </c>
      <c r="BZ42" s="8"/>
      <c r="CA42" s="61">
        <f t="shared" si="25"/>
        <v>4.05</v>
      </c>
      <c r="CB42" s="61">
        <f t="shared" si="26"/>
        <v>6.07</v>
      </c>
      <c r="CC42" s="61">
        <f t="shared" si="27"/>
        <v>4.6420634920634924</v>
      </c>
      <c r="CD42" s="14"/>
      <c r="CE42" s="35">
        <f t="shared" si="1"/>
        <v>5.3793600457507491</v>
      </c>
      <c r="CF42" s="15">
        <f t="shared" si="28"/>
        <v>5.9699999999999989</v>
      </c>
      <c r="CG42" s="35">
        <f t="shared" si="2"/>
        <v>6.5606399542492486</v>
      </c>
      <c r="CI42" s="14"/>
      <c r="CJ42" s="17">
        <f t="shared" si="3"/>
        <v>2.5900000000000007</v>
      </c>
      <c r="CK42" s="17">
        <f t="shared" si="4"/>
        <v>3.3200000000000003</v>
      </c>
      <c r="CL42" s="17">
        <f t="shared" si="5"/>
        <v>4.6100000000000012</v>
      </c>
      <c r="CM42" s="38">
        <f t="shared" si="29"/>
        <v>5.3400000000000007</v>
      </c>
      <c r="CN42" s="17">
        <f t="shared" si="6"/>
        <v>6.6300000000000017</v>
      </c>
      <c r="CO42" s="17">
        <f t="shared" si="7"/>
        <v>7.3600000000000012</v>
      </c>
      <c r="CP42" s="17">
        <f t="shared" si="8"/>
        <v>8.6500000000000021</v>
      </c>
      <c r="CQ42" s="2" cm="1">
        <f t="array" aca="1" ref="CQ42" ca="1">MAX(_xlfn._xlws.FILTER(CJ42:CP42,CJ42:CP42&lt;BL42))</f>
        <v>5.3400000000000007</v>
      </c>
      <c r="CR42" s="2" cm="1">
        <f t="array" aca="1" ref="CR42" ca="1">MIN(_xlfn._xlws.FILTER($CJ42:$CP42,$CJ42:$CP42&gt;BL42))</f>
        <v>6.6300000000000017</v>
      </c>
      <c r="CS42" s="16">
        <f t="shared" ca="1" si="63"/>
        <v>0.2415730337078652</v>
      </c>
      <c r="CT42" s="20">
        <f t="shared" ca="1" si="64"/>
        <v>-0.1207865168539326</v>
      </c>
      <c r="CU42" s="20">
        <f t="shared" ca="1" si="65"/>
        <v>-8.0524344569288406E-2</v>
      </c>
      <c r="CV42" s="20">
        <f t="shared" ca="1" si="66"/>
        <v>-4.8314606741573042E-2</v>
      </c>
      <c r="CW42" s="20">
        <f t="shared" ca="1" si="67"/>
        <v>-2.68414481897628E-2</v>
      </c>
      <c r="CX42" s="20">
        <f t="shared" ca="1" si="68"/>
        <v>-1.4210178453403836E-2</v>
      </c>
      <c r="CY42" s="20">
        <f t="shared" ca="1" si="69"/>
        <v>-7.3203949608443997E-3</v>
      </c>
      <c r="CZ42" s="20">
        <f t="shared" ca="1" si="70"/>
        <v>-3.716508210890234E-3</v>
      </c>
      <c r="DA42" s="21">
        <f t="shared" ca="1" si="71"/>
        <v>3.716508210890234E-3</v>
      </c>
      <c r="DB42" s="21">
        <f t="shared" ca="1" si="72"/>
        <v>7.3203949608443997E-3</v>
      </c>
      <c r="DC42" s="21">
        <f t="shared" ca="1" si="73"/>
        <v>1.4210178453403836E-2</v>
      </c>
      <c r="DD42" s="21">
        <f t="shared" ca="1" si="74"/>
        <v>2.68414481897628E-2</v>
      </c>
      <c r="DE42" s="21">
        <f t="shared" ca="1" si="75"/>
        <v>4.8314606741573042E-2</v>
      </c>
      <c r="DF42" s="21">
        <f t="shared" ca="1" si="76"/>
        <v>8.0524344569288406E-2</v>
      </c>
      <c r="DG42" s="21">
        <f t="shared" ca="1" si="77"/>
        <v>0.1207865168539326</v>
      </c>
      <c r="DI42" s="16" cm="1">
        <f t="array" aca="1" ref="DI42" ca="1">MAX(_xlfn._xlws.FILTER(CT42:DG42,CT42:DG42&lt;BR42))</f>
        <v>1.4210178453403836E-2</v>
      </c>
      <c r="DJ42" s="16" cm="1">
        <f t="array" aca="1" ref="DJ42" ca="1">MIN(_xlfn._xlws.FILTER(CT42:DG42,CT42:DG42&gt;BR42))</f>
        <v>2.68414481897628E-2</v>
      </c>
      <c r="DK42" s="2" cm="1">
        <f t="array" aca="1" ref="DK42" ca="1">_FV(EC42,"Fechamento anterior",TRUE)</f>
        <v>5.95</v>
      </c>
      <c r="DL42" s="28">
        <f t="shared" ca="1" si="15"/>
        <v>0.47167774086378889</v>
      </c>
      <c r="DM42" s="15">
        <f t="shared" ca="1" si="78"/>
        <v>6.0345505617977526</v>
      </c>
      <c r="DN42" s="15">
        <f t="shared" ca="1" si="79"/>
        <v>6.1097066167290892</v>
      </c>
      <c r="DO42" s="9"/>
      <c r="DP42" s="9"/>
      <c r="DQ42" s="9"/>
      <c r="DR42" s="89">
        <v>3.8217062241212157E-3</v>
      </c>
      <c r="DS42" s="89">
        <v>2.8206792126324903E-2</v>
      </c>
      <c r="DT42" s="89">
        <v>1.2457229495769055E-2</v>
      </c>
      <c r="DU42" s="89">
        <v>1.2457229495769055E-2</v>
      </c>
      <c r="DV42" s="89">
        <f t="shared" ca="1" si="18"/>
        <v>1.2631269736358964E-2</v>
      </c>
      <c r="DW42" s="72">
        <f t="shared" ca="1" si="19"/>
        <v>0.16930788254429782</v>
      </c>
      <c r="DX42" s="37"/>
      <c r="DY42" s="35">
        <f t="shared" si="39"/>
        <v>0.29531997712462499</v>
      </c>
      <c r="DZ42" s="56"/>
      <c r="EA42" s="56"/>
      <c r="EC42" s="2" t="e" vm="42">
        <v>#VALUE!</v>
      </c>
      <c r="EE42" s="10" cm="1">
        <f t="array" aca="1" ref="EE42" ca="1">_FV(EC42,"Ações em circulação",TRUE)</f>
        <v>226739600</v>
      </c>
      <c r="EF42" s="18">
        <f>VLOOKUP(BM42,Fundamentus!A:U,5,FALSE)</f>
        <v>0</v>
      </c>
      <c r="EG42" s="2" t="e">
        <f t="shared" ca="1" si="20"/>
        <v>#DIV/0!</v>
      </c>
      <c r="EH42" s="17" t="e">
        <v>#DIV/0!</v>
      </c>
      <c r="EI42" s="17" t="e">
        <f t="shared" ca="1" si="21"/>
        <v>#DIV/0!</v>
      </c>
      <c r="EK42" s="16" t="e">
        <f t="shared" ca="1" si="22"/>
        <v>#DIV/0!</v>
      </c>
      <c r="EL42" s="32" t="str">
        <f>IF(VLOOKUP(BM42,Fundamentus!A:U,3,FALSE)&lt;15,"Bom",IF(VLOOKUP(BM42,Fundamentus!A:U,3,FALSE)&gt;15,"Ruim","n/a"))</f>
        <v>Bom</v>
      </c>
      <c r="EM42" s="28" t="str">
        <f>IF(VLOOKUP(BM42,Fundamentus!A:U,4,FALSE)&lt;1,"Baixo",IF(VLOOKUP(BM42,Fundamentus!A:U,4,FALSE)&lt;1.5,"Moderado",IF(VLOOKUP(BM42,Fundamentus!A:U,4,FALSE)&gt;1.5,"Alto","n/a")))</f>
        <v>Moderado</v>
      </c>
      <c r="EN42" s="17" t="str">
        <f>IF(VLOOKUP(BM42,Fundamentus!A:U,8,FALSE)&lt;0,"Risco elevado",IF(VLOOKUP(BM42,Fundamentus!A:U,8,FALSE)&lt;1,"Saudável",IF(VLOOKUP(BM42,Fundamentus!A:U,8,FALSE)&lt;3,"Estável",IF(VLOOKUP(BM42,Fundamentus!A:U,8,FALSE)&gt;3,"Alerta","n/a"))))</f>
        <v>Saudável</v>
      </c>
      <c r="EO42" s="28" t="str">
        <f t="shared" si="23"/>
        <v>Ruim</v>
      </c>
      <c r="EP42" s="17" t="str">
        <f>IF(VLOOKUP(BM42,Fundamentus!A:U,12,FALSE)&lt;2,"Subvalorizada",IF(VLOOKUP(BM42,Fundamentus!A:U,12,FALSE)&lt;6,"Muita barata",IF(VLOOKUP(BM42,Fundamentus!A:U,12,FALSE)&lt;6,"Barata",IF(VLOOKUP(BM42,Fundamentus!A:U,12,FALSE)&lt;8,"Atrativa",IF(VLOOKUP(BM42,Fundamentus!A:U,12,FALSE)&gt;8,"Supervalorizada","n/a")))))</f>
        <v>Subvalorizada</v>
      </c>
      <c r="ER42" s="17" t="str">
        <f>IF(VLOOKUP(BM42,Fundamentus!A:U,17,FALSE)&lt;0.1,"Fraco retorno",IF(VLOOKUP(BM42,Fundamentus!A:U,17,FALSE)&gt;0.1,"Bom retorno","n/a"))</f>
        <v>Bom retorno</v>
      </c>
      <c r="ES42" s="17" t="str">
        <f>IF(VLOOKUP(BM42,Fundamentus!A:U,16,FALSE)&lt;0.1,"Ineficiente",IF(VLOOKUP(BM42,Fundamentus!A:U,16,FALSE)&gt;0.1,"Eficiente","n/a"))</f>
        <v>Ineficiente</v>
      </c>
      <c r="ET42" s="33" t="str">
        <f>IF(VLOOKUP(BM42,Fundamentus!A:U,16,FALSE)&lt;0.1,"Oper. Ineficiente",IF(VLOOKUP(BM42,Fundamentus!A:U,16,FALSE)&gt;0.1,"Oper.Eficiente","n/a"))</f>
        <v>Oper. Ineficiente</v>
      </c>
      <c r="EU42" s="34">
        <f>VLOOKUP(BM42,Fundamentus!A:U,14,FALSE)</f>
        <v>0</v>
      </c>
      <c r="EV42" s="17" t="str">
        <f>IF(VLOOKUP(BM42,Fundamentus!A:U,21,FALSE)&lt;0,"Negativo",IF(VLOOKUP(BM42,Fundamentus!A:U,21,FALSE)&lt;0.05,"Fraco",IF(VLOOKUP(BM42,Fundamentus!A:U,21,FALSE)&lt;0.1,"Bom",IF(VLOOKUP(BM42,Fundamentus!A:U,21,FALSE)&gt;0.1,"Muito bom","n/a"))))</f>
        <v>Muito bom</v>
      </c>
      <c r="EX42" s="29" t="str">
        <f>IF(VLOOKUP(BM42,Fundamentus!A:U,15,FALSE)&gt;1,"Bom",IF(VLOOKUP(BM42,Fundamentus!A:U,15,FALSE)&lt;1,"Ruim","n/a"))</f>
        <v>Ruim</v>
      </c>
      <c r="EY42" s="17" t="str">
        <f>IF(VLOOKUP(BM42,Fundamentus!A:U,20,FALSE)&lt;0.5,"Baixa",IF(VLOOKUP(BM42,Fundamentus!A:U,20,FALSE)&lt;1,"Moderada",IF(VLOOKUP(BM42,Fundamentus!A:U,20,FALSE)&lt;2,"Alerta",IF(VLOOKUP(BM42,Fundamentus!A:U,20,FALSE)&gt;2,"Alta","n/a"))))</f>
        <v>Baixa</v>
      </c>
    </row>
    <row r="43" spans="1:155" s="2" customFormat="1" ht="11.25" x14ac:dyDescent="0.2">
      <c r="A43" s="4">
        <v>9.83</v>
      </c>
      <c r="B43" s="4">
        <v>9.94</v>
      </c>
      <c r="C43" s="4">
        <v>10.29</v>
      </c>
      <c r="D43" s="4">
        <v>10.07</v>
      </c>
      <c r="E43" s="4">
        <v>9.8000000000000007</v>
      </c>
      <c r="F43" s="4">
        <v>9.74</v>
      </c>
      <c r="G43" s="4">
        <v>9.6199999999999992</v>
      </c>
      <c r="H43" s="4">
        <v>9.6999999999999993</v>
      </c>
      <c r="I43" s="4">
        <v>9.84</v>
      </c>
      <c r="J43" s="4">
        <v>9.94</v>
      </c>
      <c r="K43" s="4">
        <v>10.19</v>
      </c>
      <c r="L43" s="4">
        <v>10.34</v>
      </c>
      <c r="M43" s="4">
        <v>10.24</v>
      </c>
      <c r="N43" s="4">
        <v>9.86</v>
      </c>
      <c r="O43" s="4">
        <v>10.31</v>
      </c>
      <c r="P43" s="4">
        <v>10.94</v>
      </c>
      <c r="Q43" s="4">
        <v>10.96</v>
      </c>
      <c r="R43" s="4">
        <v>10.92</v>
      </c>
      <c r="S43" s="4">
        <v>11.18</v>
      </c>
      <c r="T43" s="4">
        <v>11.17</v>
      </c>
      <c r="U43" s="4">
        <v>10.91</v>
      </c>
      <c r="V43" s="4">
        <v>11.15</v>
      </c>
      <c r="W43" s="4">
        <v>10.63</v>
      </c>
      <c r="X43" s="4">
        <v>10.49</v>
      </c>
      <c r="Y43" s="4">
        <v>10.56</v>
      </c>
      <c r="Z43" s="4">
        <v>10.61</v>
      </c>
      <c r="AA43" s="4">
        <v>10.49</v>
      </c>
      <c r="AB43" s="4">
        <v>10.74</v>
      </c>
      <c r="AC43" s="4">
        <v>10.49</v>
      </c>
      <c r="AD43" s="4">
        <v>10.27</v>
      </c>
      <c r="AE43" s="4">
        <v>9.93</v>
      </c>
      <c r="AF43" s="4">
        <v>9.4499999999999993</v>
      </c>
      <c r="AG43" s="4">
        <v>9.31</v>
      </c>
      <c r="AH43" s="4">
        <v>8.94</v>
      </c>
      <c r="AI43" s="4">
        <v>9</v>
      </c>
      <c r="AJ43" s="4">
        <v>8.74</v>
      </c>
      <c r="AK43" s="4">
        <v>8.84</v>
      </c>
      <c r="AL43" s="4">
        <v>9.18</v>
      </c>
      <c r="AM43" s="4">
        <v>9.3000000000000007</v>
      </c>
      <c r="AN43" s="4">
        <v>9.6199999999999992</v>
      </c>
      <c r="AO43" s="4">
        <v>9.6300000000000008</v>
      </c>
      <c r="AP43" s="4">
        <v>9.9600000000000009</v>
      </c>
      <c r="AQ43" s="4">
        <v>9.1999999999999993</v>
      </c>
      <c r="AR43" s="4">
        <v>9.14</v>
      </c>
      <c r="AS43" s="4">
        <v>9.39</v>
      </c>
      <c r="AT43" s="4">
        <v>9.6</v>
      </c>
      <c r="AU43" s="4">
        <v>9.9600000000000009</v>
      </c>
      <c r="AV43" s="4">
        <v>9.8699999999999992</v>
      </c>
      <c r="AW43" s="4">
        <v>9.49</v>
      </c>
      <c r="AX43" s="4">
        <v>9.73</v>
      </c>
      <c r="AY43" s="12">
        <v>9.9700000000000006</v>
      </c>
      <c r="AZ43" s="12">
        <v>10.57</v>
      </c>
      <c r="BA43" s="12">
        <v>10.7</v>
      </c>
      <c r="BB43" s="15">
        <v>10.61</v>
      </c>
      <c r="BC43" s="52">
        <v>11.12</v>
      </c>
      <c r="BD43" s="52">
        <v>11.08</v>
      </c>
      <c r="BE43" s="52">
        <v>11.07</v>
      </c>
      <c r="BF43" s="52">
        <v>10.87</v>
      </c>
      <c r="BG43" s="67">
        <v>10.73</v>
      </c>
      <c r="BH43" s="52">
        <v>10.87</v>
      </c>
      <c r="BI43" s="52">
        <v>10.8</v>
      </c>
      <c r="BJ43" s="52">
        <v>11.14</v>
      </c>
      <c r="BK43" s="52">
        <v>10.5</v>
      </c>
      <c r="BL43" s="52" cm="1">
        <f t="array" aca="1" ref="BL43" ca="1">_FV(EC43,"Preço")</f>
        <v>10.5</v>
      </c>
      <c r="BM43" s="69" t="s">
        <v>40</v>
      </c>
      <c r="BN43" s="36" cm="1">
        <f t="array" aca="1" ref="BN43" ca="1">_FV(EC43,"Média de volume",TRUE)</f>
        <v>19179470</v>
      </c>
      <c r="BO43" s="36">
        <v>84900</v>
      </c>
      <c r="BP43" s="36" cm="1">
        <f t="array" aca="1" ref="BP43" ca="1">_FV(EC43,"Volume")</f>
        <v>84900</v>
      </c>
      <c r="BQ43" s="24" cm="1">
        <f t="array" aca="1" ref="BQ43" ca="1">_FV(EC43,"Beta")</f>
        <v>1.1915</v>
      </c>
      <c r="BR43" s="71" cm="1">
        <f t="array" aca="1" ref="BR43" ca="1">_FV(EC43,"Variação (%)",TRUE)</f>
        <v>-9.4339999999999997E-3</v>
      </c>
      <c r="BT43" s="17" cm="1">
        <f t="array" aca="1" ref="BT43" ca="1">_FV(EC43,"Baixo")</f>
        <v>10.41</v>
      </c>
      <c r="BU43" s="17" cm="1">
        <f t="array" aca="1" ref="BU43" ca="1">_FV(EC43,"Alto")</f>
        <v>10.71</v>
      </c>
      <c r="BV43" s="24"/>
      <c r="BW43" s="63">
        <f ca="1">SQRT(22.5*(BL43/VLOOKUP(BM43,Fundamentus!A:U,3,FALSE))*(BL43/VLOOKUP(BM43,Fundamentus!A:U,4,FALSE)))</f>
        <v>15.28514008496488</v>
      </c>
      <c r="BY43" s="62">
        <f t="shared" ca="1" si="24"/>
        <v>0</v>
      </c>
      <c r="BZ43" s="8"/>
      <c r="CA43" s="61">
        <f t="shared" si="25"/>
        <v>8.74</v>
      </c>
      <c r="CB43" s="61">
        <f t="shared" si="26"/>
        <v>11.18</v>
      </c>
      <c r="CC43" s="61">
        <f t="shared" si="27"/>
        <v>10.151269841269842</v>
      </c>
      <c r="CD43" s="14"/>
      <c r="CE43" s="35">
        <f t="shared" si="1"/>
        <v>10.407526249628905</v>
      </c>
      <c r="CF43" s="15">
        <f t="shared" si="28"/>
        <v>10.789000000000044</v>
      </c>
      <c r="CG43" s="35">
        <f t="shared" si="2"/>
        <v>11.170473750371183</v>
      </c>
      <c r="CI43" s="14"/>
      <c r="CJ43" s="17">
        <f t="shared" si="3"/>
        <v>7.0866666666666678</v>
      </c>
      <c r="CK43" s="17">
        <f t="shared" si="4"/>
        <v>7.913333333333334</v>
      </c>
      <c r="CL43" s="17">
        <f t="shared" si="5"/>
        <v>9.5266666666666673</v>
      </c>
      <c r="CM43" s="38">
        <f t="shared" si="29"/>
        <v>10.353333333333333</v>
      </c>
      <c r="CN43" s="17">
        <f t="shared" si="6"/>
        <v>11.966666666666667</v>
      </c>
      <c r="CO43" s="17">
        <f t="shared" si="7"/>
        <v>12.793333333333333</v>
      </c>
      <c r="CP43" s="17">
        <f t="shared" si="8"/>
        <v>14.406666666666666</v>
      </c>
      <c r="CQ43" s="2" cm="1">
        <f t="array" aca="1" ref="CQ43" ca="1">MAX(_xlfn._xlws.FILTER(CJ43:CP43,CJ43:CP43&lt;BL43))</f>
        <v>10.353333333333333</v>
      </c>
      <c r="CR43" s="2" cm="1">
        <f t="array" aca="1" ref="CR43" ca="1">MIN(_xlfn._xlws.FILTER($CJ43:$CP43,$CJ43:$CP43&gt;BL43))</f>
        <v>11.966666666666667</v>
      </c>
      <c r="CS43" s="16">
        <f t="shared" ca="1" si="63"/>
        <v>0.15582743077913719</v>
      </c>
      <c r="CT43" s="20">
        <f t="shared" ca="1" si="64"/>
        <v>-7.7913715389568594E-2</v>
      </c>
      <c r="CU43" s="20">
        <f t="shared" ca="1" si="65"/>
        <v>-5.1942476926379065E-2</v>
      </c>
      <c r="CV43" s="20">
        <f t="shared" ca="1" si="66"/>
        <v>-3.1165486155827437E-2</v>
      </c>
      <c r="CW43" s="20">
        <f t="shared" ca="1" si="67"/>
        <v>-1.7314158975459688E-2</v>
      </c>
      <c r="CX43" s="20">
        <f t="shared" ca="1" si="68"/>
        <v>-9.1663194575963055E-3</v>
      </c>
      <c r="CY43" s="20">
        <f t="shared" ca="1" si="69"/>
        <v>-4.7220433569435515E-3</v>
      </c>
      <c r="CZ43" s="20">
        <f t="shared" ca="1" si="70"/>
        <v>-2.3973450889098031E-3</v>
      </c>
      <c r="DA43" s="21">
        <f t="shared" ca="1" si="71"/>
        <v>2.3973450889098031E-3</v>
      </c>
      <c r="DB43" s="21">
        <f t="shared" ca="1" si="72"/>
        <v>4.7220433569435515E-3</v>
      </c>
      <c r="DC43" s="21">
        <f t="shared" ca="1" si="73"/>
        <v>9.1663194575963055E-3</v>
      </c>
      <c r="DD43" s="21">
        <f t="shared" ca="1" si="74"/>
        <v>1.7314158975459688E-2</v>
      </c>
      <c r="DE43" s="21">
        <f t="shared" ca="1" si="75"/>
        <v>3.1165486155827437E-2</v>
      </c>
      <c r="DF43" s="21">
        <f t="shared" ca="1" si="76"/>
        <v>5.1942476926379065E-2</v>
      </c>
      <c r="DG43" s="21">
        <f t="shared" ca="1" si="77"/>
        <v>7.7913715389568594E-2</v>
      </c>
      <c r="DI43" s="16" cm="1">
        <f t="array" aca="1" ref="DI43" ca="1">MAX(_xlfn._xlws.FILTER(CT43:DG43,CT43:DG43&lt;BR43))</f>
        <v>-1.7314158975459688E-2</v>
      </c>
      <c r="DJ43" s="16" cm="1">
        <f t="array" aca="1" ref="DJ43" ca="1">MIN(_xlfn._xlws.FILTER(CT43:DG43,CT43:DG43&gt;BR43))</f>
        <v>-9.1663194575963055E-3</v>
      </c>
      <c r="DK43" s="2" cm="1">
        <f t="array" aca="1" ref="DK43" ca="1">_FV(EC43,"Fechamento anterior",TRUE)</f>
        <v>10.6</v>
      </c>
      <c r="DL43" s="28">
        <f t="shared" ca="1" si="15"/>
        <v>0.96715168407921304</v>
      </c>
      <c r="DM43" s="15">
        <f t="shared" ca="1" si="78"/>
        <v>10.416469914860127</v>
      </c>
      <c r="DN43" s="15">
        <f t="shared" ca="1" si="79"/>
        <v>10.502837013749479</v>
      </c>
      <c r="DO43" s="9"/>
      <c r="DP43" s="9"/>
      <c r="DQ43" s="9"/>
      <c r="DR43" s="89">
        <v>6.2042071730653015E-3</v>
      </c>
      <c r="DS43" s="89">
        <v>4.1222124323554137E-3</v>
      </c>
      <c r="DT43" s="89">
        <v>4.7946901778196062E-3</v>
      </c>
      <c r="DU43" s="89">
        <v>8.1478395178633829E-3</v>
      </c>
      <c r="DV43" s="89">
        <f t="shared" ca="1" si="18"/>
        <v>8.1478395178633829E-3</v>
      </c>
      <c r="DW43" s="72">
        <f t="shared" ca="1" si="19"/>
        <v>-0.7575881688291094</v>
      </c>
      <c r="DX43" s="37"/>
      <c r="DY43" s="35">
        <f t="shared" si="39"/>
        <v>0.19073687518556964</v>
      </c>
      <c r="DZ43" s="56"/>
      <c r="EA43" s="56"/>
      <c r="EC43" s="2" t="e" vm="43">
        <v>#VALUE!</v>
      </c>
      <c r="EE43" s="10" cm="1">
        <f t="array" aca="1" ref="EE43" ca="1">_FV(EC43,"Ações em circulação",TRUE)</f>
        <v>10993810000</v>
      </c>
      <c r="EF43" s="18">
        <f>VLOOKUP(BM43,Fundamentus!A:U,5,FALSE)</f>
        <v>14.382</v>
      </c>
      <c r="EG43" s="2">
        <f t="shared" ca="1" si="20"/>
        <v>8026352732.5823946</v>
      </c>
      <c r="EH43" s="17">
        <v>15057437726.324572</v>
      </c>
      <c r="EI43" s="17">
        <f t="shared" ca="1" si="21"/>
        <v>15057437726.324572</v>
      </c>
      <c r="EK43" s="16">
        <f t="shared" ca="1" si="22"/>
        <v>0</v>
      </c>
      <c r="EL43" s="32" t="str">
        <f>IF(VLOOKUP(BM43,Fundamentus!A:U,3,FALSE)&lt;15,"Bom",IF(VLOOKUP(BM43,Fundamentus!A:U,3,FALSE)&gt;15,"Ruim","n/a"))</f>
        <v>Bom</v>
      </c>
      <c r="EM43" s="28" t="str">
        <f>IF(VLOOKUP(BM43,Fundamentus!A:U,4,FALSE)&lt;1,"Baixo",IF(VLOOKUP(BM43,Fundamentus!A:U,4,FALSE)&lt;1.5,"Moderado",IF(VLOOKUP(BM43,Fundamentus!A:U,4,FALSE)&gt;1.5,"Alto","n/a")))</f>
        <v>Moderado</v>
      </c>
      <c r="EN43" s="17" t="str">
        <f>IF(VLOOKUP(BM43,Fundamentus!A:U,8,FALSE)&lt;0,"Risco elevado",IF(VLOOKUP(BM43,Fundamentus!A:U,8,FALSE)&lt;1,"Saudável",IF(VLOOKUP(BM43,Fundamentus!A:U,8,FALSE)&lt;3,"Estável",IF(VLOOKUP(BM43,Fundamentus!A:U,8,FALSE)&gt;3,"Alerta","n/a"))))</f>
        <v>Alerta</v>
      </c>
      <c r="EO43" s="28" t="str">
        <f t="shared" si="23"/>
        <v>Bom</v>
      </c>
      <c r="EP43" s="17" t="str">
        <f>IF(VLOOKUP(BM43,Fundamentus!A:U,12,FALSE)&lt;2,"Subvalorizada",IF(VLOOKUP(BM43,Fundamentus!A:U,12,FALSE)&lt;6,"Muita barata",IF(VLOOKUP(BM43,Fundamentus!A:U,12,FALSE)&lt;6,"Barata",IF(VLOOKUP(BM43,Fundamentus!A:U,12,FALSE)&lt;8,"Atrativa",IF(VLOOKUP(BM43,Fundamentus!A:U,12,FALSE)&gt;8,"Supervalorizada","n/a")))))</f>
        <v>Supervalorizada</v>
      </c>
      <c r="ER43" s="17" t="str">
        <f>IF(VLOOKUP(BM43,Fundamentus!A:U,17,FALSE)&lt;0.1,"Fraco retorno",IF(VLOOKUP(BM43,Fundamentus!A:U,17,FALSE)&gt;0.1,"Bom retorno","n/a"))</f>
        <v>Bom retorno</v>
      </c>
      <c r="ES43" s="17" t="str">
        <f>IF(VLOOKUP(BM43,Fundamentus!A:U,16,FALSE)&lt;0.1,"Ineficiente",IF(VLOOKUP(BM43,Fundamentus!A:U,16,FALSE)&gt;0.1,"Eficiente","n/a"))</f>
        <v>Ineficiente</v>
      </c>
      <c r="ET43" s="33" t="str">
        <f>IF(VLOOKUP(BM43,Fundamentus!A:U,16,FALSE)&lt;0.1,"Oper. Ineficiente",IF(VLOOKUP(BM43,Fundamentus!A:U,16,FALSE)&gt;0.1,"Oper.Eficiente","n/a"))</f>
        <v>Oper. Ineficiente</v>
      </c>
      <c r="EU43" s="34">
        <f>VLOOKUP(BM43,Fundamentus!A:U,14,FALSE)</f>
        <v>1.8759999999999999</v>
      </c>
      <c r="EV43" s="17" t="str">
        <f>IF(VLOOKUP(BM43,Fundamentus!A:U,21,FALSE)&lt;0,"Negativo",IF(VLOOKUP(BM43,Fundamentus!A:U,21,FALSE)&lt;0.05,"Fraco",IF(VLOOKUP(BM43,Fundamentus!A:U,21,FALSE)&lt;0.1,"Bom",IF(VLOOKUP(BM43,Fundamentus!A:U,21,FALSE)&gt;0.1,"Muito bom","n/a"))))</f>
        <v>Fraco</v>
      </c>
      <c r="EX43" s="29" t="str">
        <f>IF(VLOOKUP(BM43,Fundamentus!A:U,15,FALSE)&gt;1,"Bom",IF(VLOOKUP(BM43,Fundamentus!A:U,15,FALSE)&lt;1,"Ruim","n/a"))</f>
        <v>Bom</v>
      </c>
      <c r="EY43" s="17" t="str">
        <f>IF(VLOOKUP(BM43,Fundamentus!A:U,20,FALSE)&lt;0.5,"Baixa",IF(VLOOKUP(BM43,Fundamentus!A:U,20,FALSE)&lt;1,"Moderada",IF(VLOOKUP(BM43,Fundamentus!A:U,20,FALSE)&lt;2,"Alerta",IF(VLOOKUP(BM43,Fundamentus!A:U,20,FALSE)&gt;2,"Alta","n/a"))))</f>
        <v>Baixa</v>
      </c>
    </row>
    <row r="44" spans="1:155" s="2" customFormat="1" ht="11.25" x14ac:dyDescent="0.2">
      <c r="A44" s="4">
        <v>1.58</v>
      </c>
      <c r="B44" s="4">
        <v>1.5</v>
      </c>
      <c r="C44" s="4">
        <v>1.4</v>
      </c>
      <c r="D44" s="4">
        <v>1.38</v>
      </c>
      <c r="E44" s="4">
        <v>1.32</v>
      </c>
      <c r="F44" s="4">
        <v>1.28</v>
      </c>
      <c r="G44" s="4">
        <v>1.25</v>
      </c>
      <c r="H44" s="4">
        <v>1.24</v>
      </c>
      <c r="I44" s="4">
        <v>1.25</v>
      </c>
      <c r="J44" s="4">
        <v>1.42</v>
      </c>
      <c r="K44" s="4">
        <v>1.55</v>
      </c>
      <c r="L44" s="4">
        <v>1.44</v>
      </c>
      <c r="M44" s="4">
        <v>1.57</v>
      </c>
      <c r="N44" s="4">
        <v>1.55</v>
      </c>
      <c r="O44" s="4">
        <v>1.59</v>
      </c>
      <c r="P44" s="4">
        <v>1.59</v>
      </c>
      <c r="Q44" s="4">
        <v>1.74</v>
      </c>
      <c r="R44" s="4">
        <v>1.59</v>
      </c>
      <c r="S44" s="4">
        <v>1.46</v>
      </c>
      <c r="T44" s="4">
        <v>1.43</v>
      </c>
      <c r="U44" s="4">
        <v>1.33</v>
      </c>
      <c r="V44" s="4">
        <v>1.36</v>
      </c>
      <c r="W44" s="4">
        <v>1.43</v>
      </c>
      <c r="X44" s="4">
        <v>1.37</v>
      </c>
      <c r="Y44" s="4">
        <v>1.36</v>
      </c>
      <c r="Z44" s="4">
        <v>1.4</v>
      </c>
      <c r="AA44" s="4">
        <v>1.27</v>
      </c>
      <c r="AB44" s="4">
        <v>1.32</v>
      </c>
      <c r="AC44" s="4">
        <v>1.27</v>
      </c>
      <c r="AD44" s="4">
        <v>1.32</v>
      </c>
      <c r="AE44" s="4">
        <v>1.26</v>
      </c>
      <c r="AF44" s="4">
        <v>1.2</v>
      </c>
      <c r="AG44" s="4">
        <v>1.07</v>
      </c>
      <c r="AH44" s="4">
        <v>0.98</v>
      </c>
      <c r="AI44" s="4">
        <v>0.97</v>
      </c>
      <c r="AJ44" s="4">
        <v>0.97</v>
      </c>
      <c r="AK44" s="4">
        <v>0.94</v>
      </c>
      <c r="AL44" s="4">
        <v>0.91</v>
      </c>
      <c r="AM44" s="4">
        <v>0.97</v>
      </c>
      <c r="AN44" s="4">
        <v>1.01</v>
      </c>
      <c r="AO44" s="4">
        <v>0.98</v>
      </c>
      <c r="AP44" s="4">
        <v>1</v>
      </c>
      <c r="AQ44" s="4">
        <v>0.99</v>
      </c>
      <c r="AR44" s="4">
        <v>0.95</v>
      </c>
      <c r="AS44" s="4">
        <v>0.95</v>
      </c>
      <c r="AT44" s="4">
        <v>1.1000000000000001</v>
      </c>
      <c r="AU44" s="4">
        <v>1.1000000000000001</v>
      </c>
      <c r="AV44" s="4">
        <v>1.34</v>
      </c>
      <c r="AW44" s="4">
        <v>1.26</v>
      </c>
      <c r="AX44" s="4">
        <v>1.22</v>
      </c>
      <c r="AY44" s="12">
        <v>1.28</v>
      </c>
      <c r="AZ44" s="12">
        <v>1.31</v>
      </c>
      <c r="BA44" s="12">
        <v>1.19</v>
      </c>
      <c r="BB44" s="15">
        <v>1.44</v>
      </c>
      <c r="BC44" s="52">
        <v>1.36</v>
      </c>
      <c r="BD44" s="52">
        <v>1.2</v>
      </c>
      <c r="BE44" s="52">
        <v>1.19</v>
      </c>
      <c r="BF44" s="52">
        <v>1.1399999999999999</v>
      </c>
      <c r="BG44" s="67">
        <v>1.1299999999999999</v>
      </c>
      <c r="BH44" s="52">
        <v>1.1499999999999999</v>
      </c>
      <c r="BI44" s="52">
        <v>1.19</v>
      </c>
      <c r="BJ44" s="52">
        <v>1.23</v>
      </c>
      <c r="BK44" s="52">
        <v>1.21</v>
      </c>
      <c r="BL44" s="52" cm="1">
        <f t="array" aca="1" ref="BL44" ca="1">_FV(EC44,"Preço")</f>
        <v>1.21</v>
      </c>
      <c r="BM44" s="69" t="s">
        <v>41</v>
      </c>
      <c r="BN44" s="36" cm="1">
        <f t="array" aca="1" ref="BN44" ca="1">_FV(EC44,"Média de volume",TRUE)</f>
        <v>499400</v>
      </c>
      <c r="BO44" s="36">
        <v>736400</v>
      </c>
      <c r="BP44" s="36" cm="1">
        <f t="array" aca="1" ref="BP44" ca="1">_FV(EC44,"Volume")</f>
        <v>736400</v>
      </c>
      <c r="BQ44" s="24" cm="1">
        <f t="array" aca="1" ref="BQ44" ca="1">_FV(EC44,"Beta")</f>
        <v>2.1204000000000001</v>
      </c>
      <c r="BR44" s="71" cm="1">
        <f t="array" aca="1" ref="BR44" ca="1">_FV(EC44,"Variação (%)",TRUE)</f>
        <v>-2.4194E-2</v>
      </c>
      <c r="BT44" s="17" cm="1">
        <f t="array" aca="1" ref="BT44" ca="1">_FV(EC44,"Baixo")</f>
        <v>1.21</v>
      </c>
      <c r="BU44" s="17" cm="1">
        <f t="array" aca="1" ref="BU44" ca="1">_FV(EC44,"Alto")</f>
        <v>1.29</v>
      </c>
      <c r="BV44" s="24"/>
      <c r="BW44" s="63" t="e">
        <f ca="1">SQRT(22.5*(BL44/VLOOKUP(BM44,Fundamentus!A:U,3,FALSE))*(BL44/VLOOKUP(BM44,Fundamentus!A:U,4,FALSE)))</f>
        <v>#NUM!</v>
      </c>
      <c r="BY44" s="62">
        <f t="shared" ca="1" si="24"/>
        <v>0</v>
      </c>
      <c r="BZ44" s="8"/>
      <c r="CA44" s="61">
        <f t="shared" si="25"/>
        <v>0.91</v>
      </c>
      <c r="CB44" s="61">
        <f t="shared" si="26"/>
        <v>1.74</v>
      </c>
      <c r="CC44" s="61">
        <f t="shared" si="27"/>
        <v>1.2658730158730156</v>
      </c>
      <c r="CD44" s="14"/>
      <c r="CE44" s="35">
        <f t="shared" si="1"/>
        <v>1.1313899023813241</v>
      </c>
      <c r="CF44" s="15">
        <f t="shared" si="28"/>
        <v>1.2059999999999889</v>
      </c>
      <c r="CG44" s="35">
        <f t="shared" si="2"/>
        <v>1.2806100976186536</v>
      </c>
      <c r="CI44" s="14"/>
      <c r="CJ44" s="17">
        <f t="shared" si="3"/>
        <v>1.6666666666666496E-2</v>
      </c>
      <c r="CK44" s="17">
        <f t="shared" si="4"/>
        <v>0.46333333333333326</v>
      </c>
      <c r="CL44" s="17">
        <f t="shared" si="5"/>
        <v>0.84666666666666646</v>
      </c>
      <c r="CM44" s="38">
        <f t="shared" si="29"/>
        <v>1.2933333333333332</v>
      </c>
      <c r="CN44" s="17">
        <f t="shared" si="6"/>
        <v>1.6766666666666663</v>
      </c>
      <c r="CO44" s="17">
        <f t="shared" si="7"/>
        <v>2.1233333333333331</v>
      </c>
      <c r="CP44" s="17">
        <f t="shared" si="8"/>
        <v>2.5066666666666664</v>
      </c>
      <c r="CQ44" s="2" cm="1">
        <f t="array" aca="1" ref="CQ44" ca="1">MAX(_xlfn._xlws.FILTER(CJ44:CP44,CJ44:CP44&lt;BL44))</f>
        <v>0.84666666666666646</v>
      </c>
      <c r="CR44" s="2" cm="1">
        <f t="array" aca="1" ref="CR44" ca="1">MIN(_xlfn._xlws.FILTER($CJ44:$CP44,$CJ44:$CP44&gt;BL44))</f>
        <v>1.2933333333333332</v>
      </c>
      <c r="CS44" s="16">
        <f t="shared" ca="1" si="63"/>
        <v>0.52755905511811041</v>
      </c>
      <c r="CT44" s="20">
        <f t="shared" ca="1" si="64"/>
        <v>-0.2637795275590552</v>
      </c>
      <c r="CU44" s="20">
        <f t="shared" ca="1" si="65"/>
        <v>-0.17585301837270348</v>
      </c>
      <c r="CV44" s="20">
        <f t="shared" ca="1" si="66"/>
        <v>-0.10551181102362209</v>
      </c>
      <c r="CW44" s="20">
        <f t="shared" ca="1" si="67"/>
        <v>-5.861767279090116E-2</v>
      </c>
      <c r="CX44" s="20">
        <f t="shared" ca="1" si="68"/>
        <v>-3.1032885595182965E-2</v>
      </c>
      <c r="CY44" s="20">
        <f t="shared" ca="1" si="69"/>
        <v>-1.5986638033882134E-2</v>
      </c>
      <c r="CZ44" s="20">
        <f t="shared" ca="1" si="70"/>
        <v>-8.1162931556632376E-3</v>
      </c>
      <c r="DA44" s="21">
        <f t="shared" ca="1" si="71"/>
        <v>8.1162931556632376E-3</v>
      </c>
      <c r="DB44" s="21">
        <f t="shared" ca="1" si="72"/>
        <v>1.5986638033882134E-2</v>
      </c>
      <c r="DC44" s="21">
        <f t="shared" ca="1" si="73"/>
        <v>3.1032885595182965E-2</v>
      </c>
      <c r="DD44" s="21">
        <f t="shared" ca="1" si="74"/>
        <v>5.861767279090116E-2</v>
      </c>
      <c r="DE44" s="21">
        <f t="shared" ca="1" si="75"/>
        <v>0.10551181102362209</v>
      </c>
      <c r="DF44" s="21">
        <f t="shared" ca="1" si="76"/>
        <v>0.17585301837270348</v>
      </c>
      <c r="DG44" s="21">
        <f t="shared" ca="1" si="77"/>
        <v>0.2637795275590552</v>
      </c>
      <c r="DI44" s="16" cm="1">
        <f t="array" aca="1" ref="DI44" ca="1">MAX(_xlfn._xlws.FILTER(CT44:DG44,CT44:DG44&lt;BR44))</f>
        <v>-3.1032885595182965E-2</v>
      </c>
      <c r="DJ44" s="16" cm="1">
        <f t="array" aca="1" ref="DJ44" ca="1">MIN(_xlfn._xlws.FILTER(CT44:DG44,CT44:DG44&gt;BR44))</f>
        <v>-1.5986638033882134E-2</v>
      </c>
      <c r="DK44" s="2" cm="1">
        <f t="array" aca="1" ref="DK44" ca="1">_FV(EC44,"Fechamento anterior",TRUE)</f>
        <v>1.24</v>
      </c>
      <c r="DL44" s="28">
        <f t="shared" ca="1" si="15"/>
        <v>0.45455434520943733</v>
      </c>
      <c r="DM44" s="15">
        <f t="shared" ca="1" si="78"/>
        <v>1.201519221861973</v>
      </c>
      <c r="DN44" s="15">
        <f t="shared" ca="1" si="79"/>
        <v>1.2201765688379862</v>
      </c>
      <c r="DO44" s="9"/>
      <c r="DP44" s="9"/>
      <c r="DQ44" s="9"/>
      <c r="DR44" s="89">
        <v>8.7145969498910614E-3</v>
      </c>
      <c r="DS44" s="89">
        <v>1.8934911242603551E-2</v>
      </c>
      <c r="DT44" s="89">
        <v>1.5046247561300831E-2</v>
      </c>
      <c r="DU44" s="89">
        <v>1.5046247561300831E-2</v>
      </c>
      <c r="DV44" s="89">
        <f t="shared" ca="1" si="18"/>
        <v>1.5046247561300831E-2</v>
      </c>
      <c r="DW44" s="72">
        <f t="shared" ca="1" si="19"/>
        <v>5.3612046193201188E-2</v>
      </c>
      <c r="DX44" s="37"/>
      <c r="DY44" s="35">
        <f t="shared" si="39"/>
        <v>3.7305048809332352E-2</v>
      </c>
      <c r="DZ44" s="56"/>
      <c r="EA44" s="56"/>
      <c r="EC44" s="2" t="e" vm="44">
        <v>#VALUE!</v>
      </c>
      <c r="EE44" s="10" cm="1">
        <f t="array" aca="1" ref="EE44" ca="1">_FV(EC44,"Ações em circulação",TRUE)</f>
        <v>286676500</v>
      </c>
      <c r="EF44" s="18">
        <f>VLOOKUP(BM44,Fundamentus!A:U,5,FALSE)</f>
        <v>0.14599999999999999</v>
      </c>
      <c r="EG44" s="2">
        <f t="shared" ca="1" si="20"/>
        <v>2375880582.191781</v>
      </c>
      <c r="EH44" s="17">
        <v>-93134518.821917817</v>
      </c>
      <c r="EI44" s="17">
        <f t="shared" ca="1" si="21"/>
        <v>-93134518.821917817</v>
      </c>
      <c r="EK44" s="16">
        <f t="shared" ca="1" si="22"/>
        <v>0</v>
      </c>
      <c r="EL44" s="32" t="str">
        <f>IF(VLOOKUP(BM44,Fundamentus!A:U,3,FALSE)&lt;15,"Bom",IF(VLOOKUP(BM44,Fundamentus!A:U,3,FALSE)&gt;15,"Ruim","n/a"))</f>
        <v>Bom</v>
      </c>
      <c r="EM44" s="28" t="str">
        <f>IF(VLOOKUP(BM44,Fundamentus!A:U,4,FALSE)&lt;1,"Baixo",IF(VLOOKUP(BM44,Fundamentus!A:U,4,FALSE)&lt;1.5,"Moderado",IF(VLOOKUP(BM44,Fundamentus!A:U,4,FALSE)&gt;1.5,"Alto","n/a")))</f>
        <v>Baixo</v>
      </c>
      <c r="EN44" s="17" t="str">
        <f>IF(VLOOKUP(BM44,Fundamentus!A:U,8,FALSE)&lt;0,"Risco elevado",IF(VLOOKUP(BM44,Fundamentus!A:U,8,FALSE)&lt;1,"Saudável",IF(VLOOKUP(BM44,Fundamentus!A:U,8,FALSE)&lt;3,"Estável",IF(VLOOKUP(BM44,Fundamentus!A:U,8,FALSE)&gt;3,"Alerta","n/a"))))</f>
        <v>Risco elevado</v>
      </c>
      <c r="EO44" s="28" t="str">
        <f t="shared" si="23"/>
        <v>Ruim</v>
      </c>
      <c r="EP44" s="17" t="str">
        <f>IF(VLOOKUP(BM44,Fundamentus!A:U,12,FALSE)&lt;2,"Subvalorizada",IF(VLOOKUP(BM44,Fundamentus!A:U,12,FALSE)&lt;6,"Muita barata",IF(VLOOKUP(BM44,Fundamentus!A:U,12,FALSE)&lt;6,"Barata",IF(VLOOKUP(BM44,Fundamentus!A:U,12,FALSE)&lt;8,"Atrativa",IF(VLOOKUP(BM44,Fundamentus!A:U,12,FALSE)&gt;8,"Supervalorizada","n/a")))))</f>
        <v>Muita barata</v>
      </c>
      <c r="ER44" s="17" t="str">
        <f>IF(VLOOKUP(BM44,Fundamentus!A:U,17,FALSE)&lt;0.1,"Fraco retorno",IF(VLOOKUP(BM44,Fundamentus!A:U,17,FALSE)&gt;0.1,"Bom retorno","n/a"))</f>
        <v>Fraco retorno</v>
      </c>
      <c r="ES44" s="17" t="str">
        <f>IF(VLOOKUP(BM44,Fundamentus!A:U,16,FALSE)&lt;0.1,"Ineficiente",IF(VLOOKUP(BM44,Fundamentus!A:U,16,FALSE)&gt;0.1,"Eficiente","n/a"))</f>
        <v>Ineficiente</v>
      </c>
      <c r="ET44" s="33" t="str">
        <f>IF(VLOOKUP(BM44,Fundamentus!A:U,16,FALSE)&lt;0.1,"Oper. Ineficiente",IF(VLOOKUP(BM44,Fundamentus!A:U,16,FALSE)&gt;0.1,"Oper.Eficiente","n/a"))</f>
        <v>Oper. Ineficiente</v>
      </c>
      <c r="EU44" s="34">
        <f>VLOOKUP(BM44,Fundamentus!A:U,14,FALSE)</f>
        <v>-3.9199999999999999E-2</v>
      </c>
      <c r="EV44" s="17" t="str">
        <f>IF(VLOOKUP(BM44,Fundamentus!A:U,21,FALSE)&lt;0,"Negativo",IF(VLOOKUP(BM44,Fundamentus!A:U,21,FALSE)&lt;0.05,"Fraco",IF(VLOOKUP(BM44,Fundamentus!A:U,21,FALSE)&lt;0.1,"Bom",IF(VLOOKUP(BM44,Fundamentus!A:U,21,FALSE)&gt;0.1,"Muito bom","n/a"))))</f>
        <v>Muito bom</v>
      </c>
      <c r="EX44" s="29" t="str">
        <f>IF(VLOOKUP(BM44,Fundamentus!A:U,15,FALSE)&gt;1,"Bom",IF(VLOOKUP(BM44,Fundamentus!A:U,15,FALSE)&lt;1,"Ruim","n/a"))</f>
        <v>Ruim</v>
      </c>
      <c r="EY44" s="17" t="str">
        <f>IF(VLOOKUP(BM44,Fundamentus!A:U,20,FALSE)&lt;0.5,"Baixa",IF(VLOOKUP(BM44,Fundamentus!A:U,20,FALSE)&lt;1,"Moderada",IF(VLOOKUP(BM44,Fundamentus!A:U,20,FALSE)&lt;2,"Alerta",IF(VLOOKUP(BM44,Fundamentus!A:U,20,FALSE)&gt;2,"Alta","n/a"))))</f>
        <v>Moderada</v>
      </c>
    </row>
    <row r="45" spans="1:155" s="2" customFormat="1" ht="11.25" x14ac:dyDescent="0.2">
      <c r="A45" s="4">
        <v>32.840000000000003</v>
      </c>
      <c r="B45" s="4">
        <v>32.619999999999997</v>
      </c>
      <c r="C45" s="4">
        <v>34.17</v>
      </c>
      <c r="D45" s="4">
        <v>32.69</v>
      </c>
      <c r="E45" s="4">
        <v>32.200000000000003</v>
      </c>
      <c r="F45" s="4">
        <v>32.69</v>
      </c>
      <c r="G45" s="4">
        <v>32.46</v>
      </c>
      <c r="H45" s="4">
        <v>32.9</v>
      </c>
      <c r="I45" s="4">
        <v>32.950000000000003</v>
      </c>
      <c r="J45" s="4">
        <v>33.17</v>
      </c>
      <c r="K45" s="4">
        <v>33.96</v>
      </c>
      <c r="L45" s="4">
        <v>34.1</v>
      </c>
      <c r="M45" s="4">
        <v>34.6</v>
      </c>
      <c r="N45" s="4">
        <v>34.9</v>
      </c>
      <c r="O45" s="4">
        <v>36.159999999999997</v>
      </c>
      <c r="P45" s="4">
        <v>37.33</v>
      </c>
      <c r="Q45" s="4">
        <v>36.99</v>
      </c>
      <c r="R45" s="4">
        <v>36.729999999999997</v>
      </c>
      <c r="S45" s="4">
        <v>36.71</v>
      </c>
      <c r="T45" s="4">
        <v>36.19</v>
      </c>
      <c r="U45" s="4">
        <v>35.01</v>
      </c>
      <c r="V45" s="4">
        <v>35.369999999999997</v>
      </c>
      <c r="W45" s="4">
        <v>35.08</v>
      </c>
      <c r="X45" s="4">
        <v>33.86</v>
      </c>
      <c r="Y45" s="4">
        <v>34.07</v>
      </c>
      <c r="Z45" s="4">
        <v>34.299999999999997</v>
      </c>
      <c r="AA45" s="4">
        <v>34.28</v>
      </c>
      <c r="AB45" s="4">
        <v>34.44</v>
      </c>
      <c r="AC45" s="4">
        <v>33.409999999999997</v>
      </c>
      <c r="AD45" s="4">
        <v>33.950000000000003</v>
      </c>
      <c r="AE45" s="4">
        <v>33.53</v>
      </c>
      <c r="AF45" s="4">
        <v>35.42</v>
      </c>
      <c r="AG45" s="4">
        <v>36.64</v>
      </c>
      <c r="AH45" s="4">
        <v>36.49</v>
      </c>
      <c r="AI45" s="4">
        <v>36.28</v>
      </c>
      <c r="AJ45" s="4">
        <v>35.99</v>
      </c>
      <c r="AK45" s="4">
        <v>36.14</v>
      </c>
      <c r="AL45" s="4">
        <v>37.83</v>
      </c>
      <c r="AM45" s="4">
        <v>37.83</v>
      </c>
      <c r="AN45" s="4">
        <v>38.54</v>
      </c>
      <c r="AO45" s="4">
        <v>39.299999999999997</v>
      </c>
      <c r="AP45" s="4">
        <v>38.880000000000003</v>
      </c>
      <c r="AQ45" s="4">
        <v>37.03</v>
      </c>
      <c r="AR45" s="4">
        <v>37.840000000000003</v>
      </c>
      <c r="AS45" s="4">
        <v>39.020000000000003</v>
      </c>
      <c r="AT45" s="4">
        <v>39.81</v>
      </c>
      <c r="AU45" s="4">
        <v>40.39</v>
      </c>
      <c r="AV45" s="4">
        <v>40.26</v>
      </c>
      <c r="AW45" s="4">
        <v>40.25</v>
      </c>
      <c r="AX45" s="4">
        <v>39.979999999999997</v>
      </c>
      <c r="AY45" s="12">
        <v>40.74</v>
      </c>
      <c r="AZ45" s="12">
        <v>42.05</v>
      </c>
      <c r="BA45" s="12">
        <v>42.77</v>
      </c>
      <c r="BB45" s="15">
        <v>38.19</v>
      </c>
      <c r="BC45" s="52">
        <v>38.51</v>
      </c>
      <c r="BD45" s="52">
        <v>38.1</v>
      </c>
      <c r="BE45" s="52">
        <v>37.51</v>
      </c>
      <c r="BF45" s="52">
        <v>36.44</v>
      </c>
      <c r="BG45" s="67">
        <v>35.51</v>
      </c>
      <c r="BH45" s="52">
        <v>35.19</v>
      </c>
      <c r="BI45" s="52">
        <v>35.229999999999997</v>
      </c>
      <c r="BJ45" s="52">
        <v>36.51</v>
      </c>
      <c r="BK45" s="52">
        <v>35.22</v>
      </c>
      <c r="BL45" s="52" cm="1">
        <f t="array" aca="1" ref="BL45" ca="1">_FV(EC45,"Preço")</f>
        <v>35.22</v>
      </c>
      <c r="BM45" s="69" t="s">
        <v>42</v>
      </c>
      <c r="BN45" s="36" cm="1">
        <f t="array" aca="1" ref="BN45" ca="1">_FV(EC45,"Média de volume",TRUE)</f>
        <v>4666900</v>
      </c>
      <c r="BO45" s="36">
        <v>2638400</v>
      </c>
      <c r="BP45" s="36" cm="1">
        <f t="array" aca="1" ref="BP45" ca="1">_FV(EC45,"Volume")</f>
        <v>2638400</v>
      </c>
      <c r="BQ45" s="24" cm="1">
        <f t="array" aca="1" ref="BQ45" ca="1">_FV(EC45,"Beta")</f>
        <v>0.5474</v>
      </c>
      <c r="BR45" s="71" cm="1">
        <f t="array" aca="1" ref="BR45" ca="1">_FV(EC45,"Variação (%)",TRUE)</f>
        <v>-2.2659999999999998E-3</v>
      </c>
      <c r="BT45" s="17" cm="1">
        <f t="array" aca="1" ref="BT45" ca="1">_FV(EC45,"Baixo")</f>
        <v>35.01</v>
      </c>
      <c r="BU45" s="17" cm="1">
        <f t="array" aca="1" ref="BU45" ca="1">_FV(EC45,"Alto")</f>
        <v>35.409999999999997</v>
      </c>
      <c r="BV45" s="24"/>
      <c r="BW45" s="63">
        <f ca="1">SQRT(22.5*(BL45/VLOOKUP(BM45,Fundamentus!A:U,3,FALSE))*(BL45/VLOOKUP(BM45,Fundamentus!A:U,4,FALSE)))</f>
        <v>23.612178386969276</v>
      </c>
      <c r="BY45" s="62">
        <f t="shared" ca="1" si="24"/>
        <v>0</v>
      </c>
      <c r="BZ45" s="8"/>
      <c r="CA45" s="61">
        <f t="shared" si="25"/>
        <v>32.200000000000003</v>
      </c>
      <c r="CB45" s="61">
        <f t="shared" si="26"/>
        <v>42.77</v>
      </c>
      <c r="CC45" s="61">
        <f t="shared" si="27"/>
        <v>36.183333333333344</v>
      </c>
      <c r="CD45" s="14"/>
      <c r="CE45" s="35">
        <f t="shared" si="1"/>
        <v>34.465961014311837</v>
      </c>
      <c r="CF45" s="15">
        <f t="shared" si="28"/>
        <v>35.605999999999995</v>
      </c>
      <c r="CG45" s="35">
        <f t="shared" si="2"/>
        <v>36.746038985688152</v>
      </c>
      <c r="CI45" s="14"/>
      <c r="CJ45" s="17">
        <f t="shared" si="3"/>
        <v>20.97999999999999</v>
      </c>
      <c r="CK45" s="17">
        <f t="shared" si="4"/>
        <v>26.589999999999996</v>
      </c>
      <c r="CL45" s="17">
        <f t="shared" si="5"/>
        <v>31.54999999999999</v>
      </c>
      <c r="CM45" s="38">
        <f t="shared" si="29"/>
        <v>37.159999999999997</v>
      </c>
      <c r="CN45" s="17">
        <f t="shared" si="6"/>
        <v>42.11999999999999</v>
      </c>
      <c r="CO45" s="17">
        <f t="shared" si="7"/>
        <v>47.73</v>
      </c>
      <c r="CP45" s="17">
        <f t="shared" si="8"/>
        <v>52.689999999999991</v>
      </c>
      <c r="CQ45" s="2" cm="1">
        <f t="array" aca="1" ref="CQ45" ca="1">MAX(_xlfn._xlws.FILTER(CJ45:CP45,CJ45:CP45&lt;BL45))</f>
        <v>31.54999999999999</v>
      </c>
      <c r="CR45" s="2" cm="1">
        <f t="array" aca="1" ref="CR45" ca="1">MIN(_xlfn._xlws.FILTER($CJ45:$CP45,$CJ45:$CP45&gt;BL45))</f>
        <v>37.159999999999997</v>
      </c>
      <c r="CS45" s="16">
        <f t="shared" ca="1" si="63"/>
        <v>0.1778129952456422</v>
      </c>
      <c r="CT45" s="20">
        <f t="shared" ca="1" si="64"/>
        <v>-8.8906497622821101E-2</v>
      </c>
      <c r="CU45" s="20">
        <f t="shared" ca="1" si="65"/>
        <v>-5.927099841521407E-2</v>
      </c>
      <c r="CV45" s="20">
        <f t="shared" ca="1" si="66"/>
        <v>-3.5562599049128438E-2</v>
      </c>
      <c r="CW45" s="20">
        <f t="shared" ca="1" si="67"/>
        <v>-1.9756999471738021E-2</v>
      </c>
      <c r="CX45" s="20">
        <f t="shared" ca="1" si="68"/>
        <v>-1.0459587955626012E-2</v>
      </c>
      <c r="CY45" s="20">
        <f t="shared" ca="1" si="69"/>
        <v>-5.3882725832012784E-3</v>
      </c>
      <c r="CZ45" s="20">
        <f t="shared" ca="1" si="70"/>
        <v>-2.7355845422406492E-3</v>
      </c>
      <c r="DA45" s="21">
        <f t="shared" ca="1" si="71"/>
        <v>2.7355845422406492E-3</v>
      </c>
      <c r="DB45" s="21">
        <f t="shared" ca="1" si="72"/>
        <v>5.3882725832012784E-3</v>
      </c>
      <c r="DC45" s="21">
        <f t="shared" ca="1" si="73"/>
        <v>1.0459587955626012E-2</v>
      </c>
      <c r="DD45" s="21">
        <f t="shared" ca="1" si="74"/>
        <v>1.9756999471738021E-2</v>
      </c>
      <c r="DE45" s="21">
        <f t="shared" ca="1" si="75"/>
        <v>3.5562599049128438E-2</v>
      </c>
      <c r="DF45" s="21">
        <f t="shared" ca="1" si="76"/>
        <v>5.927099841521407E-2</v>
      </c>
      <c r="DG45" s="21">
        <f t="shared" ca="1" si="77"/>
        <v>8.8906497622821101E-2</v>
      </c>
      <c r="DI45" s="16" cm="1">
        <f t="array" aca="1" ref="DI45" ca="1">MAX(_xlfn._xlws.FILTER(CT45:DG45,CT45:DG45&lt;BR45))</f>
        <v>-2.7355845422406492E-3</v>
      </c>
      <c r="DJ45" s="16" cm="1">
        <f t="array" aca="1" ref="DJ45" ca="1">MIN(_xlfn._xlws.FILTER(CT45:DG45,CT45:DG45&gt;BR45))</f>
        <v>2.7355845422406492E-3</v>
      </c>
      <c r="DK45" s="2" cm="1">
        <f t="array" aca="1" ref="DK45" ca="1">_FV(EC45,"Fechamento anterior",TRUE)</f>
        <v>35.299999999999997</v>
      </c>
      <c r="DL45" s="28">
        <f t="shared" ca="1" si="15"/>
        <v>8.5776108022413478E-2</v>
      </c>
      <c r="DM45" s="15">
        <f t="shared" ca="1" si="78"/>
        <v>35.203433865658901</v>
      </c>
      <c r="DN45" s="15">
        <f t="shared" ca="1" si="79"/>
        <v>35.396566134341093</v>
      </c>
      <c r="DO45" s="9"/>
      <c r="DP45" s="9"/>
      <c r="DQ45" s="9"/>
      <c r="DR45" s="89">
        <v>2.9655393285308641E-3</v>
      </c>
      <c r="DS45" s="89">
        <v>5.4886184469372414E-3</v>
      </c>
      <c r="DT45" s="89">
        <v>5.4711690844812984E-3</v>
      </c>
      <c r="DU45" s="89">
        <v>5.4711690844812984E-3</v>
      </c>
      <c r="DV45" s="89">
        <f t="shared" ca="1" si="18"/>
        <v>5.4711690844812984E-3</v>
      </c>
      <c r="DW45" s="72">
        <f t="shared" ca="1" si="19"/>
        <v>-0.33858491231069254</v>
      </c>
      <c r="DX45" s="37"/>
      <c r="DY45" s="35">
        <f t="shared" si="39"/>
        <v>0.57001949284408004</v>
      </c>
      <c r="DZ45" s="56"/>
      <c r="EA45" s="56"/>
      <c r="EC45" s="2" t="e" vm="45">
        <v>#VALUE!</v>
      </c>
      <c r="EE45" s="10" cm="1">
        <f t="array" aca="1" ref="EE45" ca="1">_FV(EC45,"Ações em circulação",TRUE)</f>
        <v>2000000000</v>
      </c>
      <c r="EF45" s="18">
        <f>VLOOKUP(BM45,Fundamentus!A:U,5,FALSE)</f>
        <v>0</v>
      </c>
      <c r="EG45" s="2" t="e">
        <f t="shared" ca="1" si="20"/>
        <v>#DIV/0!</v>
      </c>
      <c r="EH45" s="17" t="e">
        <v>#DIV/0!</v>
      </c>
      <c r="EI45" s="17" t="e">
        <f t="shared" ca="1" si="21"/>
        <v>#DIV/0!</v>
      </c>
      <c r="EK45" s="16" t="e">
        <f t="shared" ca="1" si="22"/>
        <v>#DIV/0!</v>
      </c>
      <c r="EL45" s="32" t="str">
        <f>IF(VLOOKUP(BM45,Fundamentus!A:U,3,FALSE)&lt;15,"Bom",IF(VLOOKUP(BM45,Fundamentus!A:U,3,FALSE)&gt;15,"Ruim","n/a"))</f>
        <v>Bom</v>
      </c>
      <c r="EM45" s="28" t="str">
        <f>IF(VLOOKUP(BM45,Fundamentus!A:U,4,FALSE)&lt;1,"Baixo",IF(VLOOKUP(BM45,Fundamentus!A:U,4,FALSE)&lt;1.5,"Moderado",IF(VLOOKUP(BM45,Fundamentus!A:U,4,FALSE)&gt;1.5,"Alto","n/a")))</f>
        <v>Alto</v>
      </c>
      <c r="EN45" s="17" t="str">
        <f>IF(VLOOKUP(BM45,Fundamentus!A:U,8,FALSE)&lt;0,"Risco elevado",IF(VLOOKUP(BM45,Fundamentus!A:U,8,FALSE)&lt;1,"Saudável",IF(VLOOKUP(BM45,Fundamentus!A:U,8,FALSE)&lt;3,"Estável",IF(VLOOKUP(BM45,Fundamentus!A:U,8,FALSE)&gt;3,"Alerta","n/a"))))</f>
        <v>Saudável</v>
      </c>
      <c r="EO45" s="28" t="str">
        <f t="shared" si="23"/>
        <v>Ruim</v>
      </c>
      <c r="EP45" s="17" t="str">
        <f>IF(VLOOKUP(BM45,Fundamentus!A:U,12,FALSE)&lt;2,"Subvalorizada",IF(VLOOKUP(BM45,Fundamentus!A:U,12,FALSE)&lt;6,"Muita barata",IF(VLOOKUP(BM45,Fundamentus!A:U,12,FALSE)&lt;6,"Barata",IF(VLOOKUP(BM45,Fundamentus!A:U,12,FALSE)&lt;8,"Atrativa",IF(VLOOKUP(BM45,Fundamentus!A:U,12,FALSE)&gt;8,"Supervalorizada","n/a")))))</f>
        <v>Subvalorizada</v>
      </c>
      <c r="ER45" s="17" t="str">
        <f>IF(VLOOKUP(BM45,Fundamentus!A:U,17,FALSE)&lt;0.1,"Fraco retorno",IF(VLOOKUP(BM45,Fundamentus!A:U,17,FALSE)&gt;0.1,"Bom retorno","n/a"))</f>
        <v>Bom retorno</v>
      </c>
      <c r="ES45" s="17" t="str">
        <f>IF(VLOOKUP(BM45,Fundamentus!A:U,16,FALSE)&lt;0.1,"Ineficiente",IF(VLOOKUP(BM45,Fundamentus!A:U,16,FALSE)&gt;0.1,"Eficiente","n/a"))</f>
        <v>Ineficiente</v>
      </c>
      <c r="ET45" s="33" t="str">
        <f>IF(VLOOKUP(BM45,Fundamentus!A:U,16,FALSE)&lt;0.1,"Oper. Ineficiente",IF(VLOOKUP(BM45,Fundamentus!A:U,16,FALSE)&gt;0.1,"Oper.Eficiente","n/a"))</f>
        <v>Oper. Ineficiente</v>
      </c>
      <c r="EU45" s="34">
        <f>VLOOKUP(BM45,Fundamentus!A:U,14,FALSE)</f>
        <v>0</v>
      </c>
      <c r="EV45" s="17" t="str">
        <f>IF(VLOOKUP(BM45,Fundamentus!A:U,21,FALSE)&lt;0,"Negativo",IF(VLOOKUP(BM45,Fundamentus!A:U,21,FALSE)&lt;0.05,"Fraco",IF(VLOOKUP(BM45,Fundamentus!A:U,21,FALSE)&lt;0.1,"Bom",IF(VLOOKUP(BM45,Fundamentus!A:U,21,FALSE)&gt;0.1,"Muito bom","n/a"))))</f>
        <v>Fraco</v>
      </c>
      <c r="EX45" s="29" t="str">
        <f>IF(VLOOKUP(BM45,Fundamentus!A:U,15,FALSE)&gt;1,"Bom",IF(VLOOKUP(BM45,Fundamentus!A:U,15,FALSE)&lt;1,"Ruim","n/a"))</f>
        <v>Ruim</v>
      </c>
      <c r="EY45" s="17" t="str">
        <f>IF(VLOOKUP(BM45,Fundamentus!A:U,20,FALSE)&lt;0.5,"Baixa",IF(VLOOKUP(BM45,Fundamentus!A:U,20,FALSE)&lt;1,"Moderada",IF(VLOOKUP(BM45,Fundamentus!A:U,20,FALSE)&lt;2,"Alerta",IF(VLOOKUP(BM45,Fundamentus!A:U,20,FALSE)&gt;2,"Alta","n/a"))))</f>
        <v>Baixa</v>
      </c>
    </row>
    <row r="46" spans="1:155" s="2" customFormat="1" ht="11.25" x14ac:dyDescent="0.2">
      <c r="A46" s="4">
        <v>11.34</v>
      </c>
      <c r="B46" s="4">
        <v>11.25</v>
      </c>
      <c r="C46" s="4">
        <v>11.46</v>
      </c>
      <c r="D46" s="4">
        <v>10.96</v>
      </c>
      <c r="E46" s="4">
        <v>10.85</v>
      </c>
      <c r="F46" s="4">
        <v>10.26</v>
      </c>
      <c r="G46" s="4">
        <v>10.199999999999999</v>
      </c>
      <c r="H46" s="4">
        <v>10.43</v>
      </c>
      <c r="I46" s="4">
        <v>10.7</v>
      </c>
      <c r="J46" s="4">
        <v>10.8</v>
      </c>
      <c r="K46" s="4">
        <v>10.85</v>
      </c>
      <c r="L46" s="4">
        <v>11.11</v>
      </c>
      <c r="M46" s="4">
        <v>10.71</v>
      </c>
      <c r="N46" s="4">
        <v>10.41</v>
      </c>
      <c r="O46" s="4">
        <v>10.33</v>
      </c>
      <c r="P46" s="4">
        <v>10.33</v>
      </c>
      <c r="Q46" s="4">
        <v>10.72</v>
      </c>
      <c r="R46" s="4">
        <v>10.55</v>
      </c>
      <c r="S46" s="4">
        <v>10.73</v>
      </c>
      <c r="T46" s="4">
        <v>10.88</v>
      </c>
      <c r="U46" s="4">
        <v>10.69</v>
      </c>
      <c r="V46" s="4">
        <v>10.76</v>
      </c>
      <c r="W46" s="4">
        <v>10.48</v>
      </c>
      <c r="X46" s="4">
        <v>10.28</v>
      </c>
      <c r="Y46" s="4">
        <v>10.11</v>
      </c>
      <c r="Z46" s="4">
        <v>10.06</v>
      </c>
      <c r="AA46" s="4">
        <v>10.01</v>
      </c>
      <c r="AB46" s="4">
        <v>10.95</v>
      </c>
      <c r="AC46" s="4">
        <v>10.51</v>
      </c>
      <c r="AD46" s="4">
        <v>10.96</v>
      </c>
      <c r="AE46" s="4">
        <v>11.38</v>
      </c>
      <c r="AF46" s="4">
        <v>11.45</v>
      </c>
      <c r="AG46" s="4">
        <v>11.29</v>
      </c>
      <c r="AH46" s="4">
        <v>10.62</v>
      </c>
      <c r="AI46" s="4">
        <v>10.4</v>
      </c>
      <c r="AJ46" s="4">
        <v>9.94</v>
      </c>
      <c r="AK46" s="4">
        <v>9.6</v>
      </c>
      <c r="AL46" s="4">
        <v>9.77</v>
      </c>
      <c r="AM46" s="4">
        <v>9.8699999999999992</v>
      </c>
      <c r="AN46" s="4">
        <v>9.7899999999999991</v>
      </c>
      <c r="AO46" s="4">
        <v>9.64</v>
      </c>
      <c r="AP46" s="4">
        <v>9.6999999999999993</v>
      </c>
      <c r="AQ46" s="4">
        <v>9.18</v>
      </c>
      <c r="AR46" s="4">
        <v>9.33</v>
      </c>
      <c r="AS46" s="4">
        <v>9.4</v>
      </c>
      <c r="AT46" s="4">
        <v>9.61</v>
      </c>
      <c r="AU46" s="4">
        <v>9.5749999999999993</v>
      </c>
      <c r="AV46" s="4">
        <v>9.5</v>
      </c>
      <c r="AW46" s="4">
        <v>8.61</v>
      </c>
      <c r="AX46" s="4">
        <v>8.5</v>
      </c>
      <c r="AY46" s="12">
        <v>8.6199999999999992</v>
      </c>
      <c r="AZ46" s="12">
        <v>8.67</v>
      </c>
      <c r="BA46" s="12">
        <v>8.67</v>
      </c>
      <c r="BB46" s="15">
        <v>8.6</v>
      </c>
      <c r="BC46" s="52">
        <v>8.81</v>
      </c>
      <c r="BD46" s="52">
        <v>8.7200000000000006</v>
      </c>
      <c r="BE46" s="52">
        <v>8.57</v>
      </c>
      <c r="BF46" s="52">
        <v>9.25</v>
      </c>
      <c r="BG46" s="67">
        <v>9.2200000000000006</v>
      </c>
      <c r="BH46" s="52">
        <v>9.2799999999999994</v>
      </c>
      <c r="BI46" s="52">
        <v>8.86</v>
      </c>
      <c r="BJ46" s="52">
        <v>9.39</v>
      </c>
      <c r="BK46" s="52">
        <v>9.31</v>
      </c>
      <c r="BL46" s="52" cm="1">
        <f t="array" aca="1" ref="BL46" ca="1">_FV(EC46,"Preço")</f>
        <v>9.31</v>
      </c>
      <c r="BM46" s="69" t="s">
        <v>43</v>
      </c>
      <c r="BN46" s="36" cm="1">
        <f t="array" aca="1" ref="BN46" ca="1">_FV(EC46,"Média de volume",TRUE)</f>
        <v>6018740</v>
      </c>
      <c r="BO46" s="36">
        <v>18300</v>
      </c>
      <c r="BP46" s="36" cm="1">
        <f t="array" aca="1" ref="BP46" ca="1">_FV(EC46,"Volume")</f>
        <v>18300</v>
      </c>
      <c r="BQ46" s="24" cm="1">
        <f t="array" aca="1" ref="BQ46" ca="1">_FV(EC46,"Beta")</f>
        <v>0.67800000000000005</v>
      </c>
      <c r="BR46" s="71" cm="1">
        <f t="array" aca="1" ref="BR46" ca="1">_FV(EC46,"Variação (%)",TRUE)</f>
        <v>-1.5855999999999999E-2</v>
      </c>
      <c r="BT46" s="17" cm="1">
        <f t="array" aca="1" ref="BT46" ca="1">_FV(EC46,"Baixo")</f>
        <v>9.2899999999999991</v>
      </c>
      <c r="BU46" s="17" cm="1">
        <f t="array" aca="1" ref="BU46" ca="1">_FV(EC46,"Alto")</f>
        <v>9.4600000000000009</v>
      </c>
      <c r="BV46" s="24"/>
      <c r="BW46" s="63">
        <f ca="1">SQRT(22.5*(BL46/VLOOKUP(BM46,Fundamentus!A:U,3,FALSE))*(BL46/VLOOKUP(BM46,Fundamentus!A:U,4,FALSE)))</f>
        <v>22.494952729167796</v>
      </c>
      <c r="BY46" s="62">
        <f t="shared" ca="1" si="24"/>
        <v>0</v>
      </c>
      <c r="BZ46" s="8"/>
      <c r="CA46" s="61">
        <f t="shared" si="25"/>
        <v>8.5</v>
      </c>
      <c r="CB46" s="61">
        <f t="shared" si="26"/>
        <v>11.46</v>
      </c>
      <c r="CC46" s="61">
        <f t="shared" si="27"/>
        <v>10.044523809523806</v>
      </c>
      <c r="CD46" s="14"/>
      <c r="CE46" s="35">
        <f t="shared" si="1"/>
        <v>8.9032788790206254</v>
      </c>
      <c r="CF46" s="15">
        <f t="shared" si="28"/>
        <v>9.2409999999999854</v>
      </c>
      <c r="CG46" s="35">
        <f t="shared" si="2"/>
        <v>9.5787211209793455</v>
      </c>
      <c r="CI46" s="14"/>
      <c r="CJ46" s="17">
        <f t="shared" si="3"/>
        <v>5.1466666666666647</v>
      </c>
      <c r="CK46" s="17">
        <f t="shared" si="4"/>
        <v>6.8233333333333324</v>
      </c>
      <c r="CL46" s="17">
        <f t="shared" si="5"/>
        <v>8.1066666666666656</v>
      </c>
      <c r="CM46" s="38">
        <f t="shared" si="29"/>
        <v>9.7833333333333332</v>
      </c>
      <c r="CN46" s="17">
        <f t="shared" si="6"/>
        <v>11.066666666666666</v>
      </c>
      <c r="CO46" s="17">
        <f t="shared" si="7"/>
        <v>12.743333333333334</v>
      </c>
      <c r="CP46" s="17">
        <f t="shared" si="8"/>
        <v>14.026666666666667</v>
      </c>
      <c r="CQ46" s="2" cm="1">
        <f t="array" aca="1" ref="CQ46" ca="1">MAX(_xlfn._xlws.FILTER(CJ46:CP46,CJ46:CP46&lt;BL46))</f>
        <v>8.1066666666666656</v>
      </c>
      <c r="CR46" s="2" cm="1">
        <f t="array" aca="1" ref="CR46" ca="1">MIN(_xlfn._xlws.FILTER($CJ46:$CP46,$CJ46:$CP46&gt;BL46))</f>
        <v>9.7833333333333332</v>
      </c>
      <c r="CS46" s="16">
        <f t="shared" ca="1" si="63"/>
        <v>0.20682565789473695</v>
      </c>
      <c r="CT46" s="20">
        <f t="shared" ca="1" si="64"/>
        <v>-0.10341282894736847</v>
      </c>
      <c r="CU46" s="20">
        <f t="shared" ca="1" si="65"/>
        <v>-6.8941885964912311E-2</v>
      </c>
      <c r="CV46" s="20">
        <f t="shared" ca="1" si="66"/>
        <v>-4.1365131578947389E-2</v>
      </c>
      <c r="CW46" s="20">
        <f t="shared" ca="1" si="67"/>
        <v>-2.2980628654970772E-2</v>
      </c>
      <c r="CX46" s="20">
        <f t="shared" ca="1" si="68"/>
        <v>-1.2166215170278645E-2</v>
      </c>
      <c r="CY46" s="20">
        <f t="shared" ca="1" si="69"/>
        <v>-6.2674441786283921E-3</v>
      </c>
      <c r="CZ46" s="20">
        <f t="shared" ca="1" si="70"/>
        <v>-3.1819331983805686E-3</v>
      </c>
      <c r="DA46" s="21">
        <f t="shared" ca="1" si="71"/>
        <v>3.1819331983805686E-3</v>
      </c>
      <c r="DB46" s="21">
        <f t="shared" ca="1" si="72"/>
        <v>6.2674441786283921E-3</v>
      </c>
      <c r="DC46" s="21">
        <f t="shared" ca="1" si="73"/>
        <v>1.2166215170278645E-2</v>
      </c>
      <c r="DD46" s="21">
        <f t="shared" ca="1" si="74"/>
        <v>2.2980628654970772E-2</v>
      </c>
      <c r="DE46" s="21">
        <f t="shared" ca="1" si="75"/>
        <v>4.1365131578947389E-2</v>
      </c>
      <c r="DF46" s="21">
        <f t="shared" ca="1" si="76"/>
        <v>6.8941885964912311E-2</v>
      </c>
      <c r="DG46" s="21">
        <f t="shared" ca="1" si="77"/>
        <v>0.10341282894736847</v>
      </c>
      <c r="DI46" s="16" cm="1">
        <f t="array" aca="1" ref="DI46" ca="1">MAX(_xlfn._xlws.FILTER(CT46:DG46,CT46:DG46&lt;BR46))</f>
        <v>-2.2980628654970772E-2</v>
      </c>
      <c r="DJ46" s="16" cm="1">
        <f t="array" aca="1" ref="DJ46" ca="1">MIN(_xlfn._xlws.FILTER(CT46:DG46,CT46:DG46&gt;BR46))</f>
        <v>-1.2166215170278645E-2</v>
      </c>
      <c r="DK46" s="2" cm="1">
        <f t="array" aca="1" ref="DK46" ca="1">_FV(EC46,"Fechamento anterior",TRUE)</f>
        <v>9.4600000000000009</v>
      </c>
      <c r="DL46" s="28">
        <f t="shared" ca="1" si="15"/>
        <v>0.65878670892193647</v>
      </c>
      <c r="DM46" s="15">
        <f t="shared" ca="1" si="78"/>
        <v>9.2426032529239777</v>
      </c>
      <c r="DN46" s="15">
        <f t="shared" ca="1" si="79"/>
        <v>9.3449076044891655</v>
      </c>
      <c r="DO46" s="9"/>
      <c r="DP46" s="9"/>
      <c r="DQ46" s="9"/>
      <c r="DR46" s="89">
        <v>1.3526671447645371E-2</v>
      </c>
      <c r="DS46" s="89">
        <v>3.2350190815578659E-3</v>
      </c>
      <c r="DT46" s="89">
        <v>6.3638663967611371E-3</v>
      </c>
      <c r="DU46" s="89">
        <v>1.0814413484692127E-2</v>
      </c>
      <c r="DV46" s="89">
        <f t="shared" ca="1" si="18"/>
        <v>1.0814413484692127E-2</v>
      </c>
      <c r="DW46" s="72">
        <f t="shared" ca="1" si="19"/>
        <v>0.20431058560957463</v>
      </c>
      <c r="DX46" s="37"/>
      <c r="DY46" s="35">
        <f t="shared" si="39"/>
        <v>0.16886056048968034</v>
      </c>
      <c r="DZ46" s="56"/>
      <c r="EA46" s="56"/>
      <c r="EC46" s="2" t="e" vm="46">
        <v>#VALUE!</v>
      </c>
      <c r="EE46" s="10" cm="1">
        <f t="array" aca="1" ref="EE46" ca="1">_FV(EC46,"Ações em circulação",TRUE)</f>
        <v>993705800</v>
      </c>
      <c r="EF46" s="18">
        <f>VLOOKUP(BM46,Fundamentus!A:U,5,FALSE)</f>
        <v>0.13400000000000001</v>
      </c>
      <c r="EG46" s="2">
        <f t="shared" ca="1" si="20"/>
        <v>69040305955.223877</v>
      </c>
      <c r="EH46" s="17">
        <v>3355358869.4238801</v>
      </c>
      <c r="EI46" s="17">
        <f t="shared" ca="1" si="21"/>
        <v>3355358869.4238801</v>
      </c>
      <c r="EK46" s="16">
        <f t="shared" ca="1" si="22"/>
        <v>0</v>
      </c>
      <c r="EL46" s="32" t="str">
        <f>IF(VLOOKUP(BM46,Fundamentus!A:U,3,FALSE)&lt;15,"Bom",IF(VLOOKUP(BM46,Fundamentus!A:U,3,FALSE)&gt;15,"Ruim","n/a"))</f>
        <v>Bom</v>
      </c>
      <c r="EM46" s="28" t="str">
        <f>IF(VLOOKUP(BM46,Fundamentus!A:U,4,FALSE)&lt;1,"Baixo",IF(VLOOKUP(BM46,Fundamentus!A:U,4,FALSE)&lt;1.5,"Moderado",IF(VLOOKUP(BM46,Fundamentus!A:U,4,FALSE)&gt;1.5,"Alto","n/a")))</f>
        <v>Baixo</v>
      </c>
      <c r="EN46" s="17" t="str">
        <f>IF(VLOOKUP(BM46,Fundamentus!A:U,8,FALSE)&lt;0,"Risco elevado",IF(VLOOKUP(BM46,Fundamentus!A:U,8,FALSE)&lt;1,"Saudável",IF(VLOOKUP(BM46,Fundamentus!A:U,8,FALSE)&lt;3,"Estável",IF(VLOOKUP(BM46,Fundamentus!A:U,8,FALSE)&gt;3,"Alerta","n/a"))))</f>
        <v>Saudável</v>
      </c>
      <c r="EO46" s="28" t="str">
        <f t="shared" si="23"/>
        <v>Ruim</v>
      </c>
      <c r="EP46" s="17" t="str">
        <f>IF(VLOOKUP(BM46,Fundamentus!A:U,12,FALSE)&lt;2,"Subvalorizada",IF(VLOOKUP(BM46,Fundamentus!A:U,12,FALSE)&lt;6,"Muita barata",IF(VLOOKUP(BM46,Fundamentus!A:U,12,FALSE)&lt;6,"Barata",IF(VLOOKUP(BM46,Fundamentus!A:U,12,FALSE)&lt;8,"Atrativa",IF(VLOOKUP(BM46,Fundamentus!A:U,12,FALSE)&gt;8,"Supervalorizada","n/a")))))</f>
        <v>Subvalorizada</v>
      </c>
      <c r="ER46" s="17" t="str">
        <f>IF(VLOOKUP(BM46,Fundamentus!A:U,17,FALSE)&lt;0.1,"Fraco retorno",IF(VLOOKUP(BM46,Fundamentus!A:U,17,FALSE)&gt;0.1,"Bom retorno","n/a"))</f>
        <v>Fraco retorno</v>
      </c>
      <c r="ES46" s="17" t="str">
        <f>IF(VLOOKUP(BM46,Fundamentus!A:U,16,FALSE)&lt;0.1,"Ineficiente",IF(VLOOKUP(BM46,Fundamentus!A:U,16,FALSE)&gt;0.1,"Eficiente","n/a"))</f>
        <v>Ineficiente</v>
      </c>
      <c r="ET46" s="33" t="str">
        <f>IF(VLOOKUP(BM46,Fundamentus!A:U,16,FALSE)&lt;0.1,"Oper. Ineficiente",IF(VLOOKUP(BM46,Fundamentus!A:U,16,FALSE)&gt;0.1,"Oper.Eficiente","n/a"))</f>
        <v>Oper. Ineficiente</v>
      </c>
      <c r="EU46" s="34">
        <f>VLOOKUP(BM46,Fundamentus!A:U,14,FALSE)</f>
        <v>4.8599999999999997E-2</v>
      </c>
      <c r="EV46" s="17" t="str">
        <f>IF(VLOOKUP(BM46,Fundamentus!A:U,21,FALSE)&lt;0,"Negativo",IF(VLOOKUP(BM46,Fundamentus!A:U,21,FALSE)&lt;0.05,"Fraco",IF(VLOOKUP(BM46,Fundamentus!A:U,21,FALSE)&lt;0.1,"Bom",IF(VLOOKUP(BM46,Fundamentus!A:U,21,FALSE)&gt;0.1,"Muito bom","n/a"))))</f>
        <v>Fraco</v>
      </c>
      <c r="EX46" s="29" t="str">
        <f>IF(VLOOKUP(BM46,Fundamentus!A:U,15,FALSE)&gt;1,"Bom",IF(VLOOKUP(BM46,Fundamentus!A:U,15,FALSE)&lt;1,"Ruim","n/a"))</f>
        <v>Bom</v>
      </c>
      <c r="EY46" s="17" t="str">
        <f>IF(VLOOKUP(BM46,Fundamentus!A:U,20,FALSE)&lt;0.5,"Baixa",IF(VLOOKUP(BM46,Fundamentus!A:U,20,FALSE)&lt;1,"Moderada",IF(VLOOKUP(BM46,Fundamentus!A:U,20,FALSE)&lt;2,"Alerta",IF(VLOOKUP(BM46,Fundamentus!A:U,20,FALSE)&gt;2,"Alta","n/a"))))</f>
        <v>Moderada</v>
      </c>
    </row>
    <row r="47" spans="1:155" s="5" customFormat="1" ht="11.25" x14ac:dyDescent="0.2">
      <c r="A47" s="4">
        <v>32.200000000000003</v>
      </c>
      <c r="B47" s="4">
        <v>32.28</v>
      </c>
      <c r="C47" s="4">
        <v>33.229999999999997</v>
      </c>
      <c r="D47" s="4">
        <v>31.56</v>
      </c>
      <c r="E47" s="4">
        <v>31</v>
      </c>
      <c r="F47" s="4">
        <v>31.45</v>
      </c>
      <c r="G47" s="4">
        <v>31.14</v>
      </c>
      <c r="H47" s="4">
        <v>31.88</v>
      </c>
      <c r="I47" s="4">
        <v>32.270000000000003</v>
      </c>
      <c r="J47" s="4">
        <v>32.93</v>
      </c>
      <c r="K47" s="4">
        <v>33.46</v>
      </c>
      <c r="L47" s="4">
        <v>34.26</v>
      </c>
      <c r="M47" s="4">
        <v>34.24</v>
      </c>
      <c r="N47" s="4">
        <v>32.950000000000003</v>
      </c>
      <c r="O47" s="4">
        <v>34.56</v>
      </c>
      <c r="P47" s="4">
        <v>36.89</v>
      </c>
      <c r="Q47" s="4">
        <v>36.46</v>
      </c>
      <c r="R47" s="4">
        <v>36.700000000000003</v>
      </c>
      <c r="S47" s="4">
        <v>36.950000000000003</v>
      </c>
      <c r="T47" s="4">
        <v>37.01</v>
      </c>
      <c r="U47" s="4">
        <v>35.93</v>
      </c>
      <c r="V47" s="4">
        <v>36.76</v>
      </c>
      <c r="W47" s="4">
        <v>34.909999999999997</v>
      </c>
      <c r="X47" s="4">
        <v>34.630000000000003</v>
      </c>
      <c r="Y47" s="4">
        <v>35.1</v>
      </c>
      <c r="Z47" s="4">
        <v>35.299999999999997</v>
      </c>
      <c r="AA47" s="4">
        <v>34.81</v>
      </c>
      <c r="AB47" s="4">
        <v>35.090000000000003</v>
      </c>
      <c r="AC47" s="4">
        <v>34.42</v>
      </c>
      <c r="AD47" s="4">
        <v>34.11</v>
      </c>
      <c r="AE47" s="4">
        <v>32.6</v>
      </c>
      <c r="AF47" s="4">
        <v>32.700000000000003</v>
      </c>
      <c r="AG47" s="4">
        <v>32.06</v>
      </c>
      <c r="AH47" s="4">
        <v>30.89</v>
      </c>
      <c r="AI47" s="4">
        <v>30.78</v>
      </c>
      <c r="AJ47" s="4">
        <v>29.82</v>
      </c>
      <c r="AK47" s="4">
        <v>30.64</v>
      </c>
      <c r="AL47" s="4">
        <v>32.35</v>
      </c>
      <c r="AM47" s="4">
        <v>32.46</v>
      </c>
      <c r="AN47" s="4">
        <v>33.81</v>
      </c>
      <c r="AO47" s="4">
        <v>33.92</v>
      </c>
      <c r="AP47" s="4">
        <v>34.770000000000003</v>
      </c>
      <c r="AQ47" s="4">
        <v>32.700000000000003</v>
      </c>
      <c r="AR47" s="4">
        <v>31.94</v>
      </c>
      <c r="AS47" s="4">
        <v>32.6</v>
      </c>
      <c r="AT47" s="4">
        <v>34.31</v>
      </c>
      <c r="AU47" s="4">
        <v>32.14</v>
      </c>
      <c r="AV47" s="4">
        <v>31.69</v>
      </c>
      <c r="AW47" s="4">
        <v>31.14</v>
      </c>
      <c r="AX47" s="4">
        <v>31.81</v>
      </c>
      <c r="AY47" s="12">
        <v>32.75</v>
      </c>
      <c r="AZ47" s="12">
        <v>34.619999999999997</v>
      </c>
      <c r="BA47" s="12">
        <v>35.58</v>
      </c>
      <c r="BB47" s="15">
        <v>35.32</v>
      </c>
      <c r="BC47" s="52">
        <v>37.68</v>
      </c>
      <c r="BD47" s="52">
        <v>37.72</v>
      </c>
      <c r="BE47" s="52">
        <v>37.43</v>
      </c>
      <c r="BF47" s="52">
        <v>36.58</v>
      </c>
      <c r="BG47" s="67">
        <v>36.17</v>
      </c>
      <c r="BH47" s="52">
        <v>36.64</v>
      </c>
      <c r="BI47" s="52">
        <v>36.270000000000003</v>
      </c>
      <c r="BJ47" s="52">
        <v>37.729999999999997</v>
      </c>
      <c r="BK47" s="52">
        <v>34.96</v>
      </c>
      <c r="BL47" s="52" cm="1">
        <f t="array" aca="1" ref="BL47" ca="1">_FV(EC47,"Preço")</f>
        <v>34.96</v>
      </c>
      <c r="BM47" s="69" t="s">
        <v>44</v>
      </c>
      <c r="BN47" s="36" cm="1">
        <f t="array" aca="1" ref="BN47" ca="1">_FV(EC47,"Média de volume",TRUE)</f>
        <v>19034450</v>
      </c>
      <c r="BO47" s="36">
        <v>41864400</v>
      </c>
      <c r="BP47" s="36" cm="1">
        <f t="array" aca="1" ref="BP47" ca="1">_FV(EC47,"Volume")</f>
        <v>41864400</v>
      </c>
      <c r="BQ47" s="24" cm="1">
        <f t="array" aca="1" ref="BQ47" ca="1">_FV(EC47,"Beta")</f>
        <v>1.2730999999999999</v>
      </c>
      <c r="BR47" s="71" cm="1">
        <f t="array" aca="1" ref="BR47" ca="1">_FV(EC47,"Variação (%)",TRUE)</f>
        <v>-8.2269999999999999E-3</v>
      </c>
      <c r="BT47" s="17" cm="1">
        <f t="array" aca="1" ref="BT47" ca="1">_FV(EC47,"Baixo")</f>
        <v>34.729999999999997</v>
      </c>
      <c r="BU47" s="17" cm="1">
        <f t="array" aca="1" ref="BU47" ca="1">_FV(EC47,"Alto")</f>
        <v>35.200000000000003</v>
      </c>
      <c r="BV47" s="24"/>
      <c r="BW47" s="63">
        <f ca="1">SQRT(22.5*(BL47/VLOOKUP(BM47,Fundamentus!A:U,3,FALSE))*(BL47/VLOOKUP(BM47,Fundamentus!A:U,4,FALSE)))</f>
        <v>37.174664439166513</v>
      </c>
      <c r="BY47" s="62">
        <f t="shared" ca="1" si="24"/>
        <v>0</v>
      </c>
      <c r="BZ47" s="8"/>
      <c r="CA47" s="61">
        <f t="shared" si="25"/>
        <v>29.82</v>
      </c>
      <c r="CB47" s="61">
        <f t="shared" si="26"/>
        <v>37.729999999999997</v>
      </c>
      <c r="CC47" s="61">
        <f t="shared" si="27"/>
        <v>33.953333333333333</v>
      </c>
      <c r="CD47" s="14"/>
      <c r="CE47" s="35">
        <f t="shared" si="1"/>
        <v>34.587622449578568</v>
      </c>
      <c r="CF47" s="15">
        <f t="shared" si="28"/>
        <v>36.221000000000458</v>
      </c>
      <c r="CG47" s="35">
        <f t="shared" si="2"/>
        <v>37.854377550422349</v>
      </c>
      <c r="CI47" s="14"/>
      <c r="CJ47" s="17">
        <f t="shared" si="3"/>
        <v>24.546666666666674</v>
      </c>
      <c r="CK47" s="17">
        <f t="shared" si="4"/>
        <v>27.183333333333337</v>
      </c>
      <c r="CL47" s="17">
        <f t="shared" si="5"/>
        <v>32.456666666666671</v>
      </c>
      <c r="CM47" s="38">
        <f t="shared" si="29"/>
        <v>35.093333333333334</v>
      </c>
      <c r="CN47" s="17">
        <f t="shared" si="6"/>
        <v>40.366666666666667</v>
      </c>
      <c r="CO47" s="17">
        <f t="shared" si="7"/>
        <v>43.00333333333333</v>
      </c>
      <c r="CP47" s="17">
        <f t="shared" si="8"/>
        <v>48.276666666666664</v>
      </c>
      <c r="CQ47" s="2" cm="1">
        <f t="array" aca="1" ref="CQ47" ca="1">MAX(_xlfn._xlws.FILTER(CJ47:CP47,CJ47:CP47&lt;BL47))</f>
        <v>32.456666666666671</v>
      </c>
      <c r="CR47" s="2" cm="1">
        <f t="array" aca="1" ref="CR47" ca="1">MIN(_xlfn._xlws.FILTER($CJ47:$CP47,$CJ47:$CP47&gt;BL47))</f>
        <v>35.093333333333334</v>
      </c>
      <c r="CS47" s="16">
        <f t="shared" ca="1" si="63"/>
        <v>8.1236520488856767E-2</v>
      </c>
      <c r="CT47" s="20">
        <f t="shared" ca="1" si="64"/>
        <v>-4.0618260244428384E-2</v>
      </c>
      <c r="CU47" s="20">
        <f t="shared" ca="1" si="65"/>
        <v>-2.7078840162952256E-2</v>
      </c>
      <c r="CV47" s="20">
        <f t="shared" ca="1" si="66"/>
        <v>-1.6247304097771354E-2</v>
      </c>
      <c r="CW47" s="20">
        <f t="shared" ca="1" si="67"/>
        <v>-9.026280054317418E-3</v>
      </c>
      <c r="CX47" s="20">
        <f t="shared" ca="1" si="68"/>
        <v>-4.7786188522856918E-3</v>
      </c>
      <c r="CY47" s="20">
        <f t="shared" ca="1" si="69"/>
        <v>-2.4617127420865689E-3</v>
      </c>
      <c r="CZ47" s="20">
        <f t="shared" ca="1" si="70"/>
        <v>-1.2497926229054887E-3</v>
      </c>
      <c r="DA47" s="21">
        <f t="shared" ca="1" si="71"/>
        <v>1.2497926229054887E-3</v>
      </c>
      <c r="DB47" s="21">
        <f t="shared" ca="1" si="72"/>
        <v>2.4617127420865689E-3</v>
      </c>
      <c r="DC47" s="21">
        <f t="shared" ca="1" si="73"/>
        <v>4.7786188522856918E-3</v>
      </c>
      <c r="DD47" s="21">
        <f t="shared" ca="1" si="74"/>
        <v>9.026280054317418E-3</v>
      </c>
      <c r="DE47" s="21">
        <f t="shared" ca="1" si="75"/>
        <v>1.6247304097771354E-2</v>
      </c>
      <c r="DF47" s="21">
        <f t="shared" ca="1" si="76"/>
        <v>2.7078840162952256E-2</v>
      </c>
      <c r="DG47" s="21">
        <f t="shared" ca="1" si="77"/>
        <v>4.0618260244428384E-2</v>
      </c>
      <c r="DI47" s="16" cm="1">
        <f t="array" aca="1" ref="DI47" ca="1">MAX(_xlfn._xlws.FILTER(CT47:DG47,CT47:DG47&lt;BR47))</f>
        <v>-9.026280054317418E-3</v>
      </c>
      <c r="DJ47" s="16" cm="1">
        <f t="array" aca="1" ref="DJ47" ca="1">MIN(_xlfn._xlws.FILTER(CT47:DG47,CT47:DG47&gt;BR47))</f>
        <v>-4.7786188522856918E-3</v>
      </c>
      <c r="DK47" s="2" cm="1">
        <f t="array" aca="1" ref="DK47" ca="1">_FV(EC47,"Fechamento anterior",TRUE)</f>
        <v>35.25</v>
      </c>
      <c r="DL47" s="28">
        <f t="shared" ca="1" si="15"/>
        <v>0.1881811334965133</v>
      </c>
      <c r="DM47" s="15">
        <f t="shared" ca="1" si="78"/>
        <v>34.931823628085311</v>
      </c>
      <c r="DN47" s="15">
        <f t="shared" ca="1" si="79"/>
        <v>35.081553685456932</v>
      </c>
      <c r="DO47" s="9"/>
      <c r="DP47" s="9"/>
      <c r="DQ47" s="9"/>
      <c r="DR47" s="89">
        <v>1.537610841801736E-3</v>
      </c>
      <c r="DS47" s="89">
        <v>7.1844377515734841E-3</v>
      </c>
      <c r="DT47" s="89">
        <v>4.6235679214402647E-3</v>
      </c>
      <c r="DU47" s="89">
        <v>4.2476612020317262E-3</v>
      </c>
      <c r="DV47" s="89">
        <f t="shared" ca="1" si="18"/>
        <v>4.2476612020317262E-3</v>
      </c>
      <c r="DW47" s="72">
        <f t="shared" ca="1" si="19"/>
        <v>-0.77201991644537393</v>
      </c>
      <c r="DX47" s="37"/>
      <c r="DY47" s="35">
        <f t="shared" si="39"/>
        <v>0.81668877521094496</v>
      </c>
      <c r="DZ47" s="56"/>
      <c r="EA47" s="56"/>
      <c r="EC47" s="5" t="e" vm="47">
        <v>#VALUE!</v>
      </c>
      <c r="EE47" s="10" cm="1">
        <f t="array" aca="1" ref="EE47" ca="1">_FV(EC47,"Ações em circulação",TRUE)</f>
        <v>10784550000</v>
      </c>
      <c r="EF47" s="18">
        <f>VLOOKUP(BM47,Fundamentus!A:U,5,FALSE)</f>
        <v>0</v>
      </c>
      <c r="EG47" s="2" t="e">
        <f t="shared" ca="1" si="20"/>
        <v>#DIV/0!</v>
      </c>
      <c r="EH47" s="17" t="e">
        <v>#DIV/0!</v>
      </c>
      <c r="EI47" s="17" t="e">
        <f t="shared" ca="1" si="21"/>
        <v>#DIV/0!</v>
      </c>
      <c r="EJ47" s="2"/>
      <c r="EK47" s="16" t="e">
        <f t="shared" ca="1" si="22"/>
        <v>#DIV/0!</v>
      </c>
      <c r="EL47" s="32" t="str">
        <f>IF(VLOOKUP(BM47,Fundamentus!A:U,3,FALSE)&lt;15,"Bom",IF(VLOOKUP(BM47,Fundamentus!A:U,3,FALSE)&gt;15,"Ruim","n/a"))</f>
        <v>Bom</v>
      </c>
      <c r="EM47" s="28" t="str">
        <f>IF(VLOOKUP(BM47,Fundamentus!A:U,4,FALSE)&lt;1,"Baixo",IF(VLOOKUP(BM47,Fundamentus!A:U,4,FALSE)&lt;1.5,"Moderado",IF(VLOOKUP(BM47,Fundamentus!A:U,4,FALSE)&gt;1.5,"Alto","n/a")))</f>
        <v>Alto</v>
      </c>
      <c r="EN47" s="17" t="str">
        <f>IF(VLOOKUP(BM47,Fundamentus!A:U,8,FALSE)&lt;0,"Risco elevado",IF(VLOOKUP(BM47,Fundamentus!A:U,8,FALSE)&lt;1,"Saudável",IF(VLOOKUP(BM47,Fundamentus!A:U,8,FALSE)&lt;3,"Estável",IF(VLOOKUP(BM47,Fundamentus!A:U,8,FALSE)&gt;3,"Alerta","n/a"))))</f>
        <v>Saudável</v>
      </c>
      <c r="EO47" s="28" t="str">
        <f t="shared" si="23"/>
        <v>Ruim</v>
      </c>
      <c r="EP47" s="17" t="str">
        <f>IF(VLOOKUP(BM47,Fundamentus!A:U,12,FALSE)&lt;2,"Subvalorizada",IF(VLOOKUP(BM47,Fundamentus!A:U,12,FALSE)&lt;6,"Muita barata",IF(VLOOKUP(BM47,Fundamentus!A:U,12,FALSE)&lt;6,"Barata",IF(VLOOKUP(BM47,Fundamentus!A:U,12,FALSE)&lt;8,"Atrativa",IF(VLOOKUP(BM47,Fundamentus!A:U,12,FALSE)&gt;8,"Supervalorizada","n/a")))))</f>
        <v>Subvalorizada</v>
      </c>
      <c r="EQ47" s="2"/>
      <c r="ER47" s="17" t="str">
        <f>IF(VLOOKUP(BM47,Fundamentus!A:U,17,FALSE)&lt;0.1,"Fraco retorno",IF(VLOOKUP(BM47,Fundamentus!A:U,17,FALSE)&gt;0.1,"Bom retorno","n/a"))</f>
        <v>Bom retorno</v>
      </c>
      <c r="ES47" s="17" t="str">
        <f>IF(VLOOKUP(BM47,Fundamentus!A:U,16,FALSE)&lt;0.1,"Ineficiente",IF(VLOOKUP(BM47,Fundamentus!A:U,16,FALSE)&gt;0.1,"Eficiente","n/a"))</f>
        <v>Ineficiente</v>
      </c>
      <c r="ET47" s="33" t="str">
        <f>IF(VLOOKUP(BM47,Fundamentus!A:U,16,FALSE)&lt;0.1,"Oper. Ineficiente",IF(VLOOKUP(BM47,Fundamentus!A:U,16,FALSE)&gt;0.1,"Oper.Eficiente","n/a"))</f>
        <v>Oper. Ineficiente</v>
      </c>
      <c r="EU47" s="34">
        <f>VLOOKUP(BM47,Fundamentus!A:U,14,FALSE)</f>
        <v>0</v>
      </c>
      <c r="EV47" s="17" t="str">
        <f>IF(VLOOKUP(BM47,Fundamentus!A:U,21,FALSE)&lt;0,"Negativo",IF(VLOOKUP(BM47,Fundamentus!A:U,21,FALSE)&lt;0.05,"Fraco",IF(VLOOKUP(BM47,Fundamentus!A:U,21,FALSE)&lt;0.1,"Bom",IF(VLOOKUP(BM47,Fundamentus!A:U,21,FALSE)&gt;0.1,"Muito bom","n/a"))))</f>
        <v>Muito bom</v>
      </c>
      <c r="EX47" s="29" t="str">
        <f>IF(VLOOKUP(BM47,Fundamentus!A:U,15,FALSE)&gt;1,"Bom",IF(VLOOKUP(BM47,Fundamentus!A:U,15,FALSE)&lt;1,"Ruim","n/a"))</f>
        <v>Ruim</v>
      </c>
      <c r="EY47" s="17" t="str">
        <f>IF(VLOOKUP(BM47,Fundamentus!A:U,20,FALSE)&lt;0.5,"Baixa",IF(VLOOKUP(BM47,Fundamentus!A:U,20,FALSE)&lt;1,"Moderada",IF(VLOOKUP(BM47,Fundamentus!A:U,20,FALSE)&lt;2,"Alerta",IF(VLOOKUP(BM47,Fundamentus!A:U,20,FALSE)&gt;2,"Alta","n/a"))))</f>
        <v>Baixa</v>
      </c>
    </row>
    <row r="48" spans="1:155" s="2" customFormat="1" ht="11.25" x14ac:dyDescent="0.2">
      <c r="A48" s="4">
        <v>25.67</v>
      </c>
      <c r="B48" s="4">
        <v>25.7</v>
      </c>
      <c r="C48" s="4">
        <v>25.37</v>
      </c>
      <c r="D48" s="4">
        <v>25.34</v>
      </c>
      <c r="E48" s="4">
        <v>25.29</v>
      </c>
      <c r="F48" s="4">
        <v>24.85</v>
      </c>
      <c r="G48" s="4">
        <v>25.54</v>
      </c>
      <c r="H48" s="4">
        <v>25.43</v>
      </c>
      <c r="I48" s="4">
        <v>25.64</v>
      </c>
      <c r="J48" s="4">
        <v>27.06</v>
      </c>
      <c r="K48" s="4">
        <v>27.19</v>
      </c>
      <c r="L48" s="4">
        <v>27.87</v>
      </c>
      <c r="M48" s="4">
        <v>26.66</v>
      </c>
      <c r="N48" s="4">
        <v>25.65</v>
      </c>
      <c r="O48" s="4">
        <v>26.13</v>
      </c>
      <c r="P48" s="4">
        <v>25.95</v>
      </c>
      <c r="Q48" s="4">
        <v>25.9</v>
      </c>
      <c r="R48" s="4">
        <v>25.91</v>
      </c>
      <c r="S48" s="4">
        <v>26.54</v>
      </c>
      <c r="T48" s="4">
        <v>26.62</v>
      </c>
      <c r="U48" s="4">
        <v>24.83</v>
      </c>
      <c r="V48" s="4">
        <v>25.58</v>
      </c>
      <c r="W48" s="4">
        <v>25.15</v>
      </c>
      <c r="X48" s="4">
        <v>24.74</v>
      </c>
      <c r="Y48" s="4">
        <v>24.59</v>
      </c>
      <c r="Z48" s="4">
        <v>23.53</v>
      </c>
      <c r="AA48" s="4">
        <v>23.5</v>
      </c>
      <c r="AB48" s="4">
        <v>23.85</v>
      </c>
      <c r="AC48" s="4">
        <v>23.92</v>
      </c>
      <c r="AD48" s="4">
        <v>24</v>
      </c>
      <c r="AE48" s="4">
        <v>23.63</v>
      </c>
      <c r="AF48" s="4">
        <v>23.05</v>
      </c>
      <c r="AG48" s="4">
        <v>23.47</v>
      </c>
      <c r="AH48" s="4">
        <v>22.55</v>
      </c>
      <c r="AI48" s="4">
        <v>22.29</v>
      </c>
      <c r="AJ48" s="4">
        <v>22.23</v>
      </c>
      <c r="AK48" s="4">
        <v>22.18</v>
      </c>
      <c r="AL48" s="4">
        <v>22.43</v>
      </c>
      <c r="AM48" s="4">
        <v>22.22</v>
      </c>
      <c r="AN48" s="4">
        <v>22.67</v>
      </c>
      <c r="AO48" s="4">
        <v>22.01</v>
      </c>
      <c r="AP48" s="4">
        <v>21.82</v>
      </c>
      <c r="AQ48" s="4">
        <v>20.98</v>
      </c>
      <c r="AR48" s="4">
        <v>20.77</v>
      </c>
      <c r="AS48" s="4">
        <v>21.47</v>
      </c>
      <c r="AT48" s="4">
        <v>21.41</v>
      </c>
      <c r="AU48" s="4">
        <v>22.21</v>
      </c>
      <c r="AV48" s="4">
        <v>22.01</v>
      </c>
      <c r="AW48" s="4">
        <v>22.39</v>
      </c>
      <c r="AX48" s="4">
        <v>22.04</v>
      </c>
      <c r="AY48" s="12">
        <v>21.18</v>
      </c>
      <c r="AZ48" s="12">
        <v>21.56</v>
      </c>
      <c r="BA48" s="12">
        <v>21.18</v>
      </c>
      <c r="BB48" s="15">
        <v>20.27</v>
      </c>
      <c r="BC48" s="52">
        <v>21.41</v>
      </c>
      <c r="BD48" s="52">
        <v>21.3</v>
      </c>
      <c r="BE48" s="52">
        <v>21.02</v>
      </c>
      <c r="BF48" s="52">
        <v>21.25</v>
      </c>
      <c r="BG48" s="67">
        <v>20.82</v>
      </c>
      <c r="BH48" s="52">
        <v>20.76</v>
      </c>
      <c r="BI48" s="52">
        <v>20.05</v>
      </c>
      <c r="BJ48" s="52">
        <v>20.68</v>
      </c>
      <c r="BK48" s="52">
        <v>20.8</v>
      </c>
      <c r="BL48" s="52" cm="1">
        <f t="array" aca="1" ref="BL48" ca="1">_FV(EC48,"Preço")</f>
        <v>20.8</v>
      </c>
      <c r="BM48" s="69" t="s">
        <v>45</v>
      </c>
      <c r="BN48" s="36" cm="1">
        <f t="array" aca="1" ref="BN48" ca="1">_FV(EC48,"Média de volume",TRUE)</f>
        <v>159720</v>
      </c>
      <c r="BO48" s="36">
        <v>104500</v>
      </c>
      <c r="BP48" s="36" cm="1">
        <f t="array" aca="1" ref="BP48" ca="1">_FV(EC48,"Volume")</f>
        <v>104500</v>
      </c>
      <c r="BQ48" s="24" cm="1">
        <f t="array" aca="1" ref="BQ48" ca="1">_FV(EC48,"Beta")</f>
        <v>0.68959999999999999</v>
      </c>
      <c r="BR48" s="71" cm="1">
        <f t="array" aca="1" ref="BR48" ca="1">_FV(EC48,"Variação (%)",TRUE)</f>
        <v>7.7520000000000002E-3</v>
      </c>
      <c r="BT48" s="17" cm="1">
        <f t="array" aca="1" ref="BT48" ca="1">_FV(EC48,"Baixo")</f>
        <v>20.48</v>
      </c>
      <c r="BU48" s="17" cm="1">
        <f t="array" aca="1" ref="BU48" ca="1">_FV(EC48,"Alto")</f>
        <v>20.8</v>
      </c>
      <c r="BV48" s="24"/>
      <c r="BW48" s="63">
        <f ca="1">SQRT(22.5*(BL48/VLOOKUP(BM48,Fundamentus!A:U,3,FALSE))*(BL48/VLOOKUP(BM48,Fundamentus!A:U,4,FALSE)))</f>
        <v>37.722283358182764</v>
      </c>
      <c r="BY48" s="62">
        <f t="shared" ca="1" si="24"/>
        <v>0</v>
      </c>
      <c r="BZ48" s="8"/>
      <c r="CA48" s="61">
        <f t="shared" si="25"/>
        <v>20.05</v>
      </c>
      <c r="CB48" s="61">
        <f t="shared" si="26"/>
        <v>27.87</v>
      </c>
      <c r="CC48" s="61">
        <f t="shared" si="27"/>
        <v>23.493809523809521</v>
      </c>
      <c r="CD48" s="14"/>
      <c r="CE48" s="35">
        <f t="shared" si="1"/>
        <v>19.90330188749212</v>
      </c>
      <c r="CF48" s="15">
        <f t="shared" si="28"/>
        <v>20.610000000000014</v>
      </c>
      <c r="CG48" s="35">
        <f t="shared" si="2"/>
        <v>21.316698112507908</v>
      </c>
      <c r="CI48" s="14"/>
      <c r="CJ48" s="17">
        <f t="shared" si="3"/>
        <v>10.043333333333326</v>
      </c>
      <c r="CK48" s="17">
        <f t="shared" si="4"/>
        <v>15.046666666666663</v>
      </c>
      <c r="CL48" s="17">
        <f t="shared" si="5"/>
        <v>17.863333333333326</v>
      </c>
      <c r="CM48" s="38">
        <f t="shared" si="29"/>
        <v>22.866666666666664</v>
      </c>
      <c r="CN48" s="17">
        <f t="shared" si="6"/>
        <v>25.683333333333326</v>
      </c>
      <c r="CO48" s="17">
        <f t="shared" si="7"/>
        <v>30.686666666666664</v>
      </c>
      <c r="CP48" s="17">
        <f t="shared" si="8"/>
        <v>33.50333333333333</v>
      </c>
      <c r="CQ48" s="2" cm="1">
        <f t="array" aca="1" ref="CQ48" ca="1">MAX(_xlfn._xlws.FILTER(CJ48:CP48,CJ48:CP48&lt;BL48))</f>
        <v>17.863333333333326</v>
      </c>
      <c r="CR48" s="2" cm="1">
        <f t="array" aca="1" ref="CR48" ca="1">MIN(_xlfn._xlws.FILTER($CJ48:$CP48,$CJ48:$CP48&gt;BL48))</f>
        <v>22.866666666666664</v>
      </c>
      <c r="CS48" s="16">
        <f t="shared" ca="1" si="63"/>
        <v>0.28008956894943116</v>
      </c>
      <c r="CT48" s="20">
        <f t="shared" ca="1" si="64"/>
        <v>-0.14004478447471558</v>
      </c>
      <c r="CU48" s="20">
        <f t="shared" ca="1" si="65"/>
        <v>-9.3363189649810385E-2</v>
      </c>
      <c r="CV48" s="20">
        <f t="shared" ca="1" si="66"/>
        <v>-5.6017913789886228E-2</v>
      </c>
      <c r="CW48" s="20">
        <f t="shared" ca="1" si="67"/>
        <v>-3.1121063216603462E-2</v>
      </c>
      <c r="CX48" s="20">
        <f t="shared" ca="1" si="68"/>
        <v>-1.6475856997025362E-2</v>
      </c>
      <c r="CY48" s="20">
        <f t="shared" ca="1" si="69"/>
        <v>-8.4875626954373073E-3</v>
      </c>
      <c r="CZ48" s="20">
        <f t="shared" ca="1" si="70"/>
        <v>-4.30907029152971E-3</v>
      </c>
      <c r="DA48" s="21">
        <f t="shared" ca="1" si="71"/>
        <v>4.30907029152971E-3</v>
      </c>
      <c r="DB48" s="21">
        <f t="shared" ca="1" si="72"/>
        <v>8.4875626954373073E-3</v>
      </c>
      <c r="DC48" s="21">
        <f t="shared" ca="1" si="73"/>
        <v>1.6475856997025362E-2</v>
      </c>
      <c r="DD48" s="21">
        <f t="shared" ca="1" si="74"/>
        <v>3.1121063216603462E-2</v>
      </c>
      <c r="DE48" s="21">
        <f t="shared" ca="1" si="75"/>
        <v>5.6017913789886228E-2</v>
      </c>
      <c r="DF48" s="21">
        <f t="shared" ca="1" si="76"/>
        <v>9.3363189649810385E-2</v>
      </c>
      <c r="DG48" s="21">
        <f t="shared" ca="1" si="77"/>
        <v>0.14004478447471558</v>
      </c>
      <c r="DI48" s="16" cm="1">
        <f t="array" aca="1" ref="DI48" ca="1">MAX(_xlfn._xlws.FILTER(CT48:DG48,CT48:DG48&lt;BR48))</f>
        <v>4.30907029152971E-3</v>
      </c>
      <c r="DJ48" s="16" cm="1">
        <f t="array" aca="1" ref="DJ48" ca="1">MIN(_xlfn._xlws.FILTER(CT48:DG48,CT48:DG48&gt;BR48))</f>
        <v>8.4875626954373073E-3</v>
      </c>
      <c r="DK48" s="2" cm="1">
        <f t="array" aca="1" ref="DK48" ca="1">_FV(EC48,"Fechamento anterior",TRUE)</f>
        <v>20.64</v>
      </c>
      <c r="DL48" s="28">
        <f t="shared" ca="1" si="15"/>
        <v>0.82394973118696624</v>
      </c>
      <c r="DM48" s="15">
        <f t="shared" ca="1" si="78"/>
        <v>20.728939210817174</v>
      </c>
      <c r="DN48" s="15">
        <f t="shared" ca="1" si="79"/>
        <v>20.815183294033826</v>
      </c>
      <c r="DO48" s="9"/>
      <c r="DP48" s="9"/>
      <c r="DQ48" s="9"/>
      <c r="DR48" s="89">
        <v>7.8415996863360152E-3</v>
      </c>
      <c r="DS48" s="89">
        <v>8.2999305978499471E-3</v>
      </c>
      <c r="DT48" s="89">
        <v>7.9882943015880548E-3</v>
      </c>
      <c r="DU48" s="89">
        <v>4.1784924039075973E-3</v>
      </c>
      <c r="DV48" s="89">
        <f t="shared" ca="1" si="18"/>
        <v>4.1784924039075973E-3</v>
      </c>
      <c r="DW48" s="72">
        <f t="shared" ca="1" si="19"/>
        <v>0.26885596075207396</v>
      </c>
      <c r="DX48" s="37"/>
      <c r="DY48" s="35">
        <f t="shared" si="39"/>
        <v>0.35334905625394764</v>
      </c>
      <c r="DZ48" s="56"/>
      <c r="EA48" s="56"/>
      <c r="EC48" s="2" t="e" vm="48">
        <v>#VALUE!</v>
      </c>
      <c r="EE48" s="10" cm="1">
        <f t="array" aca="1" ref="EE48" ca="1">_FV(EC48,"Ações em circulação",TRUE)</f>
        <v>102683400</v>
      </c>
      <c r="EF48" s="18">
        <f>VLOOKUP(BM48,Fundamentus!A:U,5,FALSE)</f>
        <v>1.5780000000000001</v>
      </c>
      <c r="EG48" s="2">
        <f t="shared" ca="1" si="20"/>
        <v>1353494752.851711</v>
      </c>
      <c r="EH48" s="17">
        <v>309273551.02661598</v>
      </c>
      <c r="EI48" s="17">
        <f t="shared" ca="1" si="21"/>
        <v>309273551.02661598</v>
      </c>
      <c r="EK48" s="16">
        <f t="shared" ca="1" si="22"/>
        <v>0</v>
      </c>
      <c r="EL48" s="32" t="str">
        <f>IF(VLOOKUP(BM48,Fundamentus!A:U,3,FALSE)&lt;15,"Bom",IF(VLOOKUP(BM48,Fundamentus!A:U,3,FALSE)&gt;15,"Ruim","n/a"))</f>
        <v>Bom</v>
      </c>
      <c r="EM48" s="28" t="str">
        <f>IF(VLOOKUP(BM48,Fundamentus!A:U,4,FALSE)&lt;1,"Baixo",IF(VLOOKUP(BM48,Fundamentus!A:U,4,FALSE)&lt;1.5,"Moderado",IF(VLOOKUP(BM48,Fundamentus!A:U,4,FALSE)&gt;1.5,"Alto","n/a")))</f>
        <v>Baixo</v>
      </c>
      <c r="EN48" s="17" t="str">
        <f>IF(VLOOKUP(BM48,Fundamentus!A:U,8,FALSE)&lt;0,"Risco elevado",IF(VLOOKUP(BM48,Fundamentus!A:U,8,FALSE)&lt;1,"Saudável",IF(VLOOKUP(BM48,Fundamentus!A:U,8,FALSE)&lt;3,"Estável",IF(VLOOKUP(BM48,Fundamentus!A:U,8,FALSE)&gt;3,"Alerta","n/a"))))</f>
        <v>Alerta</v>
      </c>
      <c r="EO48" s="28" t="str">
        <f t="shared" si="23"/>
        <v>Bom</v>
      </c>
      <c r="EP48" s="17" t="str">
        <f>IF(VLOOKUP(BM48,Fundamentus!A:U,12,FALSE)&lt;2,"Subvalorizada",IF(VLOOKUP(BM48,Fundamentus!A:U,12,FALSE)&lt;6,"Muita barata",IF(VLOOKUP(BM48,Fundamentus!A:U,12,FALSE)&lt;6,"Barata",IF(VLOOKUP(BM48,Fundamentus!A:U,12,FALSE)&lt;8,"Atrativa",IF(VLOOKUP(BM48,Fundamentus!A:U,12,FALSE)&gt;8,"Supervalorizada","n/a")))))</f>
        <v>Atrativa</v>
      </c>
      <c r="ER48" s="17" t="str">
        <f>IF(VLOOKUP(BM48,Fundamentus!A:U,17,FALSE)&lt;0.1,"Fraco retorno",IF(VLOOKUP(BM48,Fundamentus!A:U,17,FALSE)&gt;0.1,"Bom retorno","n/a"))</f>
        <v>Bom retorno</v>
      </c>
      <c r="ES48" s="17" t="str">
        <f>IF(VLOOKUP(BM48,Fundamentus!A:U,16,FALSE)&lt;0.1,"Ineficiente",IF(VLOOKUP(BM48,Fundamentus!A:U,16,FALSE)&gt;0.1,"Eficiente","n/a"))</f>
        <v>Eficiente</v>
      </c>
      <c r="ET48" s="33" t="str">
        <f>IF(VLOOKUP(BM48,Fundamentus!A:U,16,FALSE)&lt;0.1,"Oper. Ineficiente",IF(VLOOKUP(BM48,Fundamentus!A:U,16,FALSE)&gt;0.1,"Oper.Eficiente","n/a"))</f>
        <v>Oper.Eficiente</v>
      </c>
      <c r="EU48" s="34">
        <f>VLOOKUP(BM48,Fundamentus!A:U,14,FALSE)</f>
        <v>0.22850000000000001</v>
      </c>
      <c r="EV48" s="17" t="str">
        <f>IF(VLOOKUP(BM48,Fundamentus!A:U,21,FALSE)&lt;0,"Negativo",IF(VLOOKUP(BM48,Fundamentus!A:U,21,FALSE)&lt;0.05,"Fraco",IF(VLOOKUP(BM48,Fundamentus!A:U,21,FALSE)&lt;0.1,"Bom",IF(VLOOKUP(BM48,Fundamentus!A:U,21,FALSE)&gt;0.1,"Muito bom","n/a"))))</f>
        <v>Negativo</v>
      </c>
      <c r="EX48" s="29" t="str">
        <f>IF(VLOOKUP(BM48,Fundamentus!A:U,15,FALSE)&gt;1,"Bom",IF(VLOOKUP(BM48,Fundamentus!A:U,15,FALSE)&lt;1,"Ruim","n/a"))</f>
        <v>Bom</v>
      </c>
      <c r="EY48" s="17" t="str">
        <f>IF(VLOOKUP(BM48,Fundamentus!A:U,20,FALSE)&lt;0.5,"Baixa",IF(VLOOKUP(BM48,Fundamentus!A:U,20,FALSE)&lt;1,"Moderada",IF(VLOOKUP(BM48,Fundamentus!A:U,20,FALSE)&lt;2,"Alerta",IF(VLOOKUP(BM48,Fundamentus!A:U,20,FALSE)&gt;2,"Alta","n/a"))))</f>
        <v>Moderada</v>
      </c>
    </row>
    <row r="49" spans="1:155" s="2" customFormat="1" ht="11.25" x14ac:dyDescent="0.2">
      <c r="A49" s="4">
        <v>3.35</v>
      </c>
      <c r="B49" s="4">
        <v>3.29</v>
      </c>
      <c r="C49" s="4">
        <v>3.38</v>
      </c>
      <c r="D49" s="4">
        <v>3.3</v>
      </c>
      <c r="E49" s="4">
        <v>3.35</v>
      </c>
      <c r="F49" s="4">
        <v>3.26</v>
      </c>
      <c r="G49" s="4">
        <v>3.19</v>
      </c>
      <c r="H49" s="4">
        <v>3.1</v>
      </c>
      <c r="I49" s="4">
        <v>3.42</v>
      </c>
      <c r="J49" s="4">
        <v>3.49</v>
      </c>
      <c r="K49" s="4">
        <v>3.58</v>
      </c>
      <c r="L49" s="4">
        <v>3.73</v>
      </c>
      <c r="M49" s="4">
        <v>3.48</v>
      </c>
      <c r="N49" s="4">
        <v>3.46</v>
      </c>
      <c r="O49" s="4">
        <v>3.55</v>
      </c>
      <c r="P49" s="4">
        <v>3.68</v>
      </c>
      <c r="Q49" s="4">
        <v>3.79</v>
      </c>
      <c r="R49" s="4">
        <v>3.79</v>
      </c>
      <c r="S49" s="4">
        <v>3.84</v>
      </c>
      <c r="T49" s="4">
        <v>3.91</v>
      </c>
      <c r="U49" s="4">
        <v>3.86</v>
      </c>
      <c r="V49" s="4">
        <v>3.78</v>
      </c>
      <c r="W49" s="4">
        <v>4.0999999999999996</v>
      </c>
      <c r="X49" s="4">
        <v>4.24</v>
      </c>
      <c r="Y49" s="4">
        <v>4.2</v>
      </c>
      <c r="Z49" s="4">
        <v>4.09</v>
      </c>
      <c r="AA49" s="4">
        <v>3.98</v>
      </c>
      <c r="AB49" s="4">
        <v>4.0199999999999996</v>
      </c>
      <c r="AC49" s="4">
        <v>4</v>
      </c>
      <c r="AD49" s="4">
        <v>4.01</v>
      </c>
      <c r="AE49" s="4">
        <v>4.05</v>
      </c>
      <c r="AF49" s="4">
        <v>3.94</v>
      </c>
      <c r="AG49" s="4">
        <v>3.89</v>
      </c>
      <c r="AH49" s="4">
        <v>3.71</v>
      </c>
      <c r="AI49" s="4">
        <v>3.76</v>
      </c>
      <c r="AJ49" s="4">
        <v>3.73</v>
      </c>
      <c r="AK49" s="4">
        <v>3.73</v>
      </c>
      <c r="AL49" s="4">
        <v>3.72</v>
      </c>
      <c r="AM49" s="4">
        <v>3.73</v>
      </c>
      <c r="AN49" s="4">
        <v>3.78</v>
      </c>
      <c r="AO49" s="4">
        <v>3.85</v>
      </c>
      <c r="AP49" s="4">
        <v>3.94</v>
      </c>
      <c r="AQ49" s="4">
        <v>3.84</v>
      </c>
      <c r="AR49" s="4">
        <v>3.86</v>
      </c>
      <c r="AS49" s="4">
        <v>3.84</v>
      </c>
      <c r="AT49" s="4">
        <v>3.79</v>
      </c>
      <c r="AU49" s="4">
        <v>3.79</v>
      </c>
      <c r="AV49" s="4">
        <v>3.9</v>
      </c>
      <c r="AW49" s="4">
        <v>3.69</v>
      </c>
      <c r="AX49" s="4">
        <v>3.67</v>
      </c>
      <c r="AY49" s="12">
        <v>3.74</v>
      </c>
      <c r="AZ49" s="12">
        <v>3.8</v>
      </c>
      <c r="BA49" s="12">
        <v>3.81</v>
      </c>
      <c r="BB49" s="15">
        <v>3.78</v>
      </c>
      <c r="BC49" s="52">
        <v>3.87</v>
      </c>
      <c r="BD49" s="52">
        <v>3.75</v>
      </c>
      <c r="BE49" s="52">
        <v>3.71</v>
      </c>
      <c r="BF49" s="52">
        <v>3.71</v>
      </c>
      <c r="BG49" s="67">
        <v>3.67</v>
      </c>
      <c r="BH49" s="52">
        <v>3.66</v>
      </c>
      <c r="BI49" s="52">
        <v>3.68</v>
      </c>
      <c r="BJ49" s="52">
        <v>3.72</v>
      </c>
      <c r="BK49" s="52">
        <v>3.64</v>
      </c>
      <c r="BL49" s="52" cm="1">
        <f t="array" aca="1" ref="BL49" ca="1">_FV(EC49,"Preço")</f>
        <v>3.64</v>
      </c>
      <c r="BM49" s="69" t="s">
        <v>46</v>
      </c>
      <c r="BN49" s="36" cm="1">
        <f t="array" aca="1" ref="BN49" ca="1">_FV(EC49,"Média de volume",TRUE)</f>
        <v>412250</v>
      </c>
      <c r="BO49" s="36">
        <v>340800</v>
      </c>
      <c r="BP49" s="36" cm="1">
        <f t="array" aca="1" ref="BP49" ca="1">_FV(EC49,"Volume")</f>
        <v>340800</v>
      </c>
      <c r="BQ49" s="24" cm="1">
        <f t="array" aca="1" ref="BQ49" ca="1">_FV(EC49,"Beta")</f>
        <v>1.2499</v>
      </c>
      <c r="BR49" s="71" cm="1">
        <f t="array" aca="1" ref="BR49" ca="1">_FV(EC49,"Variação (%)",TRUE)</f>
        <v>-5.4640000000000001E-3</v>
      </c>
      <c r="BT49" s="17" cm="1">
        <f t="array" aca="1" ref="BT49" ca="1">_FV(EC49,"Baixo")</f>
        <v>3.62</v>
      </c>
      <c r="BU49" s="17" cm="1">
        <f t="array" aca="1" ref="BU49" ca="1">_FV(EC49,"Alto")</f>
        <v>3.67</v>
      </c>
      <c r="BV49" s="24"/>
      <c r="BW49" s="63">
        <f ca="1">SQRT(22.5*(BL49/VLOOKUP(BM49,Fundamentus!A:U,3,FALSE))*(BL49/VLOOKUP(BM49,Fundamentus!A:U,4,FALSE)))</f>
        <v>10.19643845603435</v>
      </c>
      <c r="BY49" s="62">
        <f t="shared" ca="1" si="24"/>
        <v>0</v>
      </c>
      <c r="BZ49" s="8"/>
      <c r="CA49" s="61">
        <f t="shared" si="25"/>
        <v>3.1</v>
      </c>
      <c r="CB49" s="61">
        <f t="shared" si="26"/>
        <v>4.24</v>
      </c>
      <c r="CC49" s="61">
        <f t="shared" si="27"/>
        <v>3.7296825396825386</v>
      </c>
      <c r="CD49" s="14"/>
      <c r="CE49" s="35">
        <f t="shared" si="1"/>
        <v>3.6186225075805458</v>
      </c>
      <c r="CF49" s="15">
        <f t="shared" si="28"/>
        <v>3.6739999999999995</v>
      </c>
      <c r="CG49" s="35">
        <f t="shared" si="2"/>
        <v>3.7293774924194532</v>
      </c>
      <c r="CI49" s="14"/>
      <c r="CJ49" s="17">
        <f t="shared" si="3"/>
        <v>1.9933333333333336</v>
      </c>
      <c r="CK49" s="17">
        <f t="shared" si="4"/>
        <v>2.5466666666666669</v>
      </c>
      <c r="CL49" s="17">
        <f t="shared" si="5"/>
        <v>3.1333333333333337</v>
      </c>
      <c r="CM49" s="38">
        <f t="shared" si="29"/>
        <v>3.686666666666667</v>
      </c>
      <c r="CN49" s="17">
        <f t="shared" si="6"/>
        <v>4.2733333333333334</v>
      </c>
      <c r="CO49" s="17">
        <f t="shared" si="7"/>
        <v>4.8266666666666671</v>
      </c>
      <c r="CP49" s="17">
        <f t="shared" si="8"/>
        <v>5.413333333333334</v>
      </c>
      <c r="CQ49" s="2" cm="1">
        <f t="array" aca="1" ref="CQ49" ca="1">MAX(_xlfn._xlws.FILTER(CJ49:CP49,CJ49:CP49&lt;BL49))</f>
        <v>3.1333333333333337</v>
      </c>
      <c r="CR49" s="2" cm="1">
        <f t="array" aca="1" ref="CR49" ca="1">MIN(_xlfn._xlws.FILTER($CJ49:$CP49,$CJ49:$CP49&gt;BL49))</f>
        <v>3.686666666666667</v>
      </c>
      <c r="CS49" s="16">
        <f t="shared" ca="1" si="63"/>
        <v>0.17659574468085104</v>
      </c>
      <c r="CT49" s="20">
        <f t="shared" ca="1" si="64"/>
        <v>-8.8297872340425521E-2</v>
      </c>
      <c r="CU49" s="20">
        <f t="shared" ca="1" si="65"/>
        <v>-5.8865248226950349E-2</v>
      </c>
      <c r="CV49" s="20">
        <f t="shared" ca="1" si="66"/>
        <v>-3.5319148936170205E-2</v>
      </c>
      <c r="CW49" s="20">
        <f t="shared" ca="1" si="67"/>
        <v>-1.9621749408983449E-2</v>
      </c>
      <c r="CX49" s="20">
        <f t="shared" ca="1" si="68"/>
        <v>-1.0387984981226532E-2</v>
      </c>
      <c r="CY49" s="20">
        <f t="shared" ca="1" si="69"/>
        <v>-5.3513862024500312E-3</v>
      </c>
      <c r="CZ49" s="20">
        <f t="shared" ca="1" si="70"/>
        <v>-2.7168576104746314E-3</v>
      </c>
      <c r="DA49" s="21">
        <f t="shared" ca="1" si="71"/>
        <v>2.7168576104746314E-3</v>
      </c>
      <c r="DB49" s="21">
        <f t="shared" ca="1" si="72"/>
        <v>5.3513862024500312E-3</v>
      </c>
      <c r="DC49" s="21">
        <f t="shared" ca="1" si="73"/>
        <v>1.0387984981226532E-2</v>
      </c>
      <c r="DD49" s="21">
        <f t="shared" ca="1" si="74"/>
        <v>1.9621749408983449E-2</v>
      </c>
      <c r="DE49" s="21">
        <f t="shared" ca="1" si="75"/>
        <v>3.5319148936170205E-2</v>
      </c>
      <c r="DF49" s="21">
        <f t="shared" ca="1" si="76"/>
        <v>5.8865248226950349E-2</v>
      </c>
      <c r="DG49" s="21">
        <f t="shared" ca="1" si="77"/>
        <v>8.8297872340425521E-2</v>
      </c>
      <c r="DI49" s="16" cm="1">
        <f t="array" aca="1" ref="DI49" ca="1">MAX(_xlfn._xlws.FILTER(CT49:DG49,CT49:DG49&lt;BR49))</f>
        <v>-1.0387984981226532E-2</v>
      </c>
      <c r="DJ49" s="16" cm="1">
        <f t="array" aca="1" ref="DJ49" ca="1">MIN(_xlfn._xlws.FILTER(CT49:DG49,CT49:DG49&gt;BR49))</f>
        <v>-5.3513862024500312E-3</v>
      </c>
      <c r="DK49" s="2" cm="1">
        <f t="array" aca="1" ref="DK49" ca="1">_FV(EC49,"Fechamento anterior",TRUE)</f>
        <v>3.66</v>
      </c>
      <c r="DL49" s="28">
        <f t="shared" ca="1" si="15"/>
        <v>0.97754542761207885</v>
      </c>
      <c r="DM49" s="15">
        <f t="shared" ca="1" si="78"/>
        <v>3.6219799749687112</v>
      </c>
      <c r="DN49" s="15">
        <f t="shared" ca="1" si="79"/>
        <v>3.6404139264990332</v>
      </c>
      <c r="DO49" s="9"/>
      <c r="DP49" s="9"/>
      <c r="DQ49" s="9"/>
      <c r="DR49" s="89">
        <v>4.0008634957184944E-3</v>
      </c>
      <c r="DS49" s="89">
        <v>1.1315136476426804E-2</v>
      </c>
      <c r="DT49" s="89">
        <v>4.5385242704676773E-3</v>
      </c>
      <c r="DU49" s="89">
        <v>5.0365987787765005E-3</v>
      </c>
      <c r="DV49" s="89">
        <f t="shared" ca="1" si="18"/>
        <v>5.0365987787765005E-3</v>
      </c>
      <c r="DW49" s="72">
        <f t="shared" ca="1" si="19"/>
        <v>-0.61396785073741322</v>
      </c>
      <c r="DX49" s="37"/>
      <c r="DY49" s="35">
        <f t="shared" si="39"/>
        <v>2.7688746209726917E-2</v>
      </c>
      <c r="DZ49" s="56"/>
      <c r="EA49" s="56"/>
      <c r="EC49" s="2" t="e" vm="49">
        <v>#VALUE!</v>
      </c>
      <c r="EE49" s="10" cm="1">
        <f t="array" aca="1" ref="EE49" ca="1">_FV(EC49,"Ações em circulação",TRUE)</f>
        <v>210536200</v>
      </c>
      <c r="EF49" s="18">
        <f>VLOOKUP(BM49,Fundamentus!A:U,5,FALSE)</f>
        <v>0</v>
      </c>
      <c r="EG49" s="2" t="e">
        <f t="shared" ca="1" si="20"/>
        <v>#DIV/0!</v>
      </c>
      <c r="EH49" s="17" t="e">
        <v>#DIV/0!</v>
      </c>
      <c r="EI49" s="17" t="e">
        <f t="shared" ca="1" si="21"/>
        <v>#DIV/0!</v>
      </c>
      <c r="EK49" s="16" t="e">
        <f t="shared" ca="1" si="22"/>
        <v>#DIV/0!</v>
      </c>
      <c r="EL49" s="32" t="str">
        <f>IF(VLOOKUP(BM49,Fundamentus!A:U,3,FALSE)&lt;15,"Bom",IF(VLOOKUP(BM49,Fundamentus!A:U,3,FALSE)&gt;15,"Ruim","n/a"))</f>
        <v>Bom</v>
      </c>
      <c r="EM49" s="28" t="str">
        <f>IF(VLOOKUP(BM49,Fundamentus!A:U,4,FALSE)&lt;1,"Baixo",IF(VLOOKUP(BM49,Fundamentus!A:U,4,FALSE)&lt;1.5,"Moderado",IF(VLOOKUP(BM49,Fundamentus!A:U,4,FALSE)&gt;1.5,"Alto","n/a")))</f>
        <v>Baixo</v>
      </c>
      <c r="EN49" s="17" t="str">
        <f>IF(VLOOKUP(BM49,Fundamentus!A:U,8,FALSE)&lt;0,"Risco elevado",IF(VLOOKUP(BM49,Fundamentus!A:U,8,FALSE)&lt;1,"Saudável",IF(VLOOKUP(BM49,Fundamentus!A:U,8,FALSE)&lt;3,"Estável",IF(VLOOKUP(BM49,Fundamentus!A:U,8,FALSE)&gt;3,"Alerta","n/a"))))</f>
        <v>Saudável</v>
      </c>
      <c r="EO49" s="28" t="str">
        <f t="shared" si="23"/>
        <v>Ruim</v>
      </c>
      <c r="EP49" s="17" t="str">
        <f>IF(VLOOKUP(BM49,Fundamentus!A:U,12,FALSE)&lt;2,"Subvalorizada",IF(VLOOKUP(BM49,Fundamentus!A:U,12,FALSE)&lt;6,"Muita barata",IF(VLOOKUP(BM49,Fundamentus!A:U,12,FALSE)&lt;6,"Barata",IF(VLOOKUP(BM49,Fundamentus!A:U,12,FALSE)&lt;8,"Atrativa",IF(VLOOKUP(BM49,Fundamentus!A:U,12,FALSE)&gt;8,"Supervalorizada","n/a")))))</f>
        <v>Subvalorizada</v>
      </c>
      <c r="ER49" s="17" t="str">
        <f>IF(VLOOKUP(BM49,Fundamentus!A:U,17,FALSE)&lt;0.1,"Fraco retorno",IF(VLOOKUP(BM49,Fundamentus!A:U,17,FALSE)&gt;0.1,"Bom retorno","n/a"))</f>
        <v>Bom retorno</v>
      </c>
      <c r="ES49" s="17" t="str">
        <f>IF(VLOOKUP(BM49,Fundamentus!A:U,16,FALSE)&lt;0.1,"Ineficiente",IF(VLOOKUP(BM49,Fundamentus!A:U,16,FALSE)&gt;0.1,"Eficiente","n/a"))</f>
        <v>Ineficiente</v>
      </c>
      <c r="ET49" s="33" t="str">
        <f>IF(VLOOKUP(BM49,Fundamentus!A:U,16,FALSE)&lt;0.1,"Oper. Ineficiente",IF(VLOOKUP(BM49,Fundamentus!A:U,16,FALSE)&gt;0.1,"Oper.Eficiente","n/a"))</f>
        <v>Oper. Ineficiente</v>
      </c>
      <c r="EU49" s="34">
        <f>VLOOKUP(BM49,Fundamentus!A:U,14,FALSE)</f>
        <v>0</v>
      </c>
      <c r="EV49" s="17" t="str">
        <f>IF(VLOOKUP(BM49,Fundamentus!A:U,21,FALSE)&lt;0,"Negativo",IF(VLOOKUP(BM49,Fundamentus!A:U,21,FALSE)&lt;0.05,"Fraco",IF(VLOOKUP(BM49,Fundamentus!A:U,21,FALSE)&lt;0.1,"Bom",IF(VLOOKUP(BM49,Fundamentus!A:U,21,FALSE)&gt;0.1,"Muito bom","n/a"))))</f>
        <v>Negativo</v>
      </c>
      <c r="EX49" s="29" t="str">
        <f>IF(VLOOKUP(BM49,Fundamentus!A:U,15,FALSE)&gt;1,"Bom",IF(VLOOKUP(BM49,Fundamentus!A:U,15,FALSE)&lt;1,"Ruim","n/a"))</f>
        <v>Ruim</v>
      </c>
      <c r="EY49" s="17" t="str">
        <f>IF(VLOOKUP(BM49,Fundamentus!A:U,20,FALSE)&lt;0.5,"Baixa",IF(VLOOKUP(BM49,Fundamentus!A:U,20,FALSE)&lt;1,"Moderada",IF(VLOOKUP(BM49,Fundamentus!A:U,20,FALSE)&lt;2,"Alerta",IF(VLOOKUP(BM49,Fundamentus!A:U,20,FALSE)&gt;2,"Alta","n/a"))))</f>
        <v>Baixa</v>
      </c>
    </row>
    <row r="50" spans="1:155" s="2" customFormat="1" ht="11.25" x14ac:dyDescent="0.2">
      <c r="A50" s="4">
        <v>15.58</v>
      </c>
      <c r="B50" s="4">
        <v>15.26</v>
      </c>
      <c r="C50" s="4">
        <v>14.82</v>
      </c>
      <c r="D50" s="4">
        <v>14.81</v>
      </c>
      <c r="E50" s="4">
        <v>15.49</v>
      </c>
      <c r="F50" s="4">
        <v>16</v>
      </c>
      <c r="G50" s="4">
        <v>15.91</v>
      </c>
      <c r="H50" s="4">
        <v>15.62</v>
      </c>
      <c r="I50" s="4">
        <v>14.41</v>
      </c>
      <c r="J50" s="4">
        <v>14.63</v>
      </c>
      <c r="K50" s="4">
        <v>14.23</v>
      </c>
      <c r="L50" s="4">
        <v>14.25</v>
      </c>
      <c r="M50" s="4">
        <v>14.7</v>
      </c>
      <c r="N50" s="4">
        <v>14.53</v>
      </c>
      <c r="O50" s="4">
        <v>13.16</v>
      </c>
      <c r="P50" s="4">
        <v>12</v>
      </c>
      <c r="Q50" s="4">
        <v>13.19</v>
      </c>
      <c r="R50" s="4">
        <v>12.7</v>
      </c>
      <c r="S50" s="4">
        <v>12.28</v>
      </c>
      <c r="T50" s="4">
        <v>13.79</v>
      </c>
      <c r="U50" s="4">
        <v>13.42</v>
      </c>
      <c r="V50" s="4">
        <v>12.75</v>
      </c>
      <c r="W50" s="4">
        <v>12.92</v>
      </c>
      <c r="X50" s="4">
        <v>13.39</v>
      </c>
      <c r="Y50" s="4">
        <v>13.17</v>
      </c>
      <c r="Z50" s="4">
        <v>13.16</v>
      </c>
      <c r="AA50" s="4">
        <v>12.47</v>
      </c>
      <c r="AB50" s="4">
        <v>12.23</v>
      </c>
      <c r="AC50" s="4">
        <v>11.35</v>
      </c>
      <c r="AD50" s="4">
        <v>11.3</v>
      </c>
      <c r="AE50" s="4">
        <v>10.97</v>
      </c>
      <c r="AF50" s="4">
        <v>12.6</v>
      </c>
      <c r="AG50" s="4">
        <v>13.6</v>
      </c>
      <c r="AH50" s="4">
        <v>13.22</v>
      </c>
      <c r="AI50" s="4">
        <v>13.99</v>
      </c>
      <c r="AJ50" s="4">
        <v>14.46</v>
      </c>
      <c r="AK50" s="4">
        <v>12.77</v>
      </c>
      <c r="AL50" s="4">
        <v>13.8</v>
      </c>
      <c r="AM50" s="4">
        <v>14.19</v>
      </c>
      <c r="AN50" s="4">
        <v>14.9</v>
      </c>
      <c r="AO50" s="4">
        <v>14</v>
      </c>
      <c r="AP50" s="4">
        <v>14.72</v>
      </c>
      <c r="AQ50" s="4">
        <v>15.31</v>
      </c>
      <c r="AR50" s="4">
        <v>15.7</v>
      </c>
      <c r="AS50" s="4">
        <v>15.22</v>
      </c>
      <c r="AT50" s="4">
        <v>15.8</v>
      </c>
      <c r="AU50" s="4">
        <v>14.675000000000001</v>
      </c>
      <c r="AV50" s="4">
        <v>14.48</v>
      </c>
      <c r="AW50" s="4">
        <v>14.7</v>
      </c>
      <c r="AX50" s="4">
        <v>14.16</v>
      </c>
      <c r="AY50" s="12">
        <v>14.27</v>
      </c>
      <c r="AZ50" s="12">
        <v>13.62</v>
      </c>
      <c r="BA50" s="12">
        <v>11.95</v>
      </c>
      <c r="BB50" s="15">
        <v>11.92</v>
      </c>
      <c r="BC50" s="52">
        <v>11.94</v>
      </c>
      <c r="BD50" s="52">
        <v>11.73</v>
      </c>
      <c r="BE50" s="52">
        <v>11.99</v>
      </c>
      <c r="BF50" s="52">
        <v>11.45</v>
      </c>
      <c r="BG50" s="67">
        <v>10.98</v>
      </c>
      <c r="BH50" s="52">
        <v>10.46</v>
      </c>
      <c r="BI50" s="52">
        <v>10.27</v>
      </c>
      <c r="BJ50" s="52">
        <v>10.44</v>
      </c>
      <c r="BK50" s="52">
        <v>10.14</v>
      </c>
      <c r="BL50" s="52" cm="1">
        <f t="array" aca="1" ref="BL50" ca="1">_FV(EC50,"Preço")</f>
        <v>10.14</v>
      </c>
      <c r="BM50" s="69" t="s">
        <v>47</v>
      </c>
      <c r="BN50" s="36" cm="1">
        <f t="array" aca="1" ref="BN50" ca="1">_FV(EC50,"Média de volume",TRUE)</f>
        <v>30230</v>
      </c>
      <c r="BO50" s="36">
        <v>15600</v>
      </c>
      <c r="BP50" s="36" cm="1">
        <f t="array" aca="1" ref="BP50" ca="1">_FV(EC50,"Volume")</f>
        <v>15600</v>
      </c>
      <c r="BQ50" s="24" cm="1">
        <f t="array" aca="1" ref="BQ50" ca="1">_FV(EC50,"Beta")</f>
        <v>-0.37990000000000002</v>
      </c>
      <c r="BR50" s="71" cm="1">
        <f t="array" aca="1" ref="BR50" ca="1">_FV(EC50,"Variação (%)",TRUE)</f>
        <v>2.2176999999999999E-2</v>
      </c>
      <c r="BT50" s="17" cm="1">
        <f t="array" aca="1" ref="BT50" ca="1">_FV(EC50,"Baixo")</f>
        <v>9.7899999999999991</v>
      </c>
      <c r="BU50" s="17" cm="1">
        <f t="array" aca="1" ref="BU50" ca="1">_FV(EC50,"Alto")</f>
        <v>10.15</v>
      </c>
      <c r="BV50" s="24"/>
      <c r="BW50" s="63">
        <f ca="1">SQRT(22.5*(BL50/VLOOKUP(BM50,Fundamentus!A:U,3,FALSE))*(BL50/VLOOKUP(BM50,Fundamentus!A:U,4,FALSE)))</f>
        <v>4.0037616088169505</v>
      </c>
      <c r="BY50" s="62">
        <f t="shared" ca="1" si="24"/>
        <v>0</v>
      </c>
      <c r="BZ50" s="8"/>
      <c r="CA50" s="61">
        <f t="shared" si="25"/>
        <v>10.14</v>
      </c>
      <c r="CB50" s="61">
        <f t="shared" si="26"/>
        <v>16</v>
      </c>
      <c r="CC50" s="61">
        <f t="shared" si="27"/>
        <v>13.459444444444451</v>
      </c>
      <c r="CD50" s="14"/>
      <c r="CE50" s="35">
        <f t="shared" si="1"/>
        <v>9.3827069228390538</v>
      </c>
      <c r="CF50" s="15">
        <f t="shared" si="28"/>
        <v>10.288000000000011</v>
      </c>
      <c r="CG50" s="35">
        <f t="shared" si="2"/>
        <v>11.193293077160968</v>
      </c>
      <c r="CI50" s="14"/>
      <c r="CJ50" s="17">
        <f t="shared" si="3"/>
        <v>2.5266666666666673</v>
      </c>
      <c r="CK50" s="17">
        <f t="shared" si="4"/>
        <v>6.3333333333333339</v>
      </c>
      <c r="CL50" s="17">
        <f t="shared" si="5"/>
        <v>8.3866666666666667</v>
      </c>
      <c r="CM50" s="38">
        <f t="shared" si="29"/>
        <v>12.193333333333333</v>
      </c>
      <c r="CN50" s="17">
        <f t="shared" si="6"/>
        <v>14.246666666666666</v>
      </c>
      <c r="CO50" s="17">
        <f t="shared" si="7"/>
        <v>18.053333333333335</v>
      </c>
      <c r="CP50" s="17">
        <f t="shared" si="8"/>
        <v>20.106666666666666</v>
      </c>
      <c r="CQ50" s="2" cm="1">
        <f t="array" aca="1" ref="CQ50" ca="1">MAX(_xlfn._xlws.FILTER(CJ50:CP50,CJ50:CP50&lt;BL50))</f>
        <v>8.3866666666666667</v>
      </c>
      <c r="CR50" s="2" cm="1">
        <f t="array" aca="1" ref="CR50" ca="1">MIN(_xlfn._xlws.FILTER($CJ50:$CP50,$CJ50:$CP50&gt;BL50))</f>
        <v>12.193333333333333</v>
      </c>
      <c r="CS50" s="16">
        <f t="shared" ca="1" si="63"/>
        <v>0.45389507154213038</v>
      </c>
      <c r="CT50" s="20">
        <f t="shared" ca="1" si="64"/>
        <v>-0.22694753577106519</v>
      </c>
      <c r="CU50" s="20">
        <f t="shared" ca="1" si="65"/>
        <v>-0.15129835718071014</v>
      </c>
      <c r="CV50" s="20">
        <f t="shared" ca="1" si="66"/>
        <v>-9.0779014308426081E-2</v>
      </c>
      <c r="CW50" s="20">
        <f t="shared" ca="1" si="67"/>
        <v>-5.0432785726903379E-2</v>
      </c>
      <c r="CX50" s="20">
        <f t="shared" ca="1" si="68"/>
        <v>-2.6699710090713553E-2</v>
      </c>
      <c r="CY50" s="20">
        <f t="shared" ca="1" si="69"/>
        <v>-1.3754396107337283E-2</v>
      </c>
      <c r="CZ50" s="20">
        <f t="shared" ca="1" si="70"/>
        <v>-6.9830011006481599E-3</v>
      </c>
      <c r="DA50" s="21">
        <f t="shared" ca="1" si="71"/>
        <v>6.9830011006481599E-3</v>
      </c>
      <c r="DB50" s="21">
        <f t="shared" ca="1" si="72"/>
        <v>1.3754396107337283E-2</v>
      </c>
      <c r="DC50" s="21">
        <f t="shared" ca="1" si="73"/>
        <v>2.6699710090713553E-2</v>
      </c>
      <c r="DD50" s="21">
        <f t="shared" ca="1" si="74"/>
        <v>5.0432785726903379E-2</v>
      </c>
      <c r="DE50" s="21">
        <f t="shared" ca="1" si="75"/>
        <v>9.0779014308426081E-2</v>
      </c>
      <c r="DF50" s="21">
        <f t="shared" ca="1" si="76"/>
        <v>0.15129835718071014</v>
      </c>
      <c r="DG50" s="21">
        <f t="shared" ca="1" si="77"/>
        <v>0.22694753577106519</v>
      </c>
      <c r="DI50" s="16" cm="1">
        <f t="array" aca="1" ref="DI50" ca="1">MAX(_xlfn._xlws.FILTER(CT50:DG50,CT50:DG50&lt;BR50))</f>
        <v>1.3754396107337283E-2</v>
      </c>
      <c r="DJ50" s="16" cm="1">
        <f t="array" aca="1" ref="DJ50" ca="1">MIN(_xlfn._xlws.FILTER(CT50:DG50,CT50:DG50&gt;BR50))</f>
        <v>2.6699710090713553E-2</v>
      </c>
      <c r="DK50" s="2" cm="1">
        <f t="array" aca="1" ref="DK50" ca="1">_FV(EC50,"Fechamento anterior",TRUE)</f>
        <v>9.92</v>
      </c>
      <c r="DL50" s="28">
        <f t="shared" ca="1" si="15"/>
        <v>0.65066195059601506</v>
      </c>
      <c r="DM50" s="15">
        <f t="shared" ca="1" si="78"/>
        <v>10.056443609384786</v>
      </c>
      <c r="DN50" s="15">
        <f t="shared" ca="1" si="79"/>
        <v>10.184861124099879</v>
      </c>
      <c r="DO50" s="9"/>
      <c r="DP50" s="9"/>
      <c r="DQ50" s="9"/>
      <c r="DR50" s="89">
        <v>5.2372002845418692E-3</v>
      </c>
      <c r="DS50" s="89">
        <v>5.3738376319021472E-3</v>
      </c>
      <c r="DT50" s="89">
        <v>1.2667050941684169E-2</v>
      </c>
      <c r="DU50" s="89">
        <v>1.2667050941684169E-2</v>
      </c>
      <c r="DV50" s="89">
        <f t="shared" ca="1" si="18"/>
        <v>1.2945313983376269E-2</v>
      </c>
      <c r="DW50" s="72">
        <f t="shared" ca="1" si="19"/>
        <v>-0.16348296892332978</v>
      </c>
      <c r="DX50" s="37"/>
      <c r="DY50" s="35">
        <f t="shared" si="39"/>
        <v>0.4526465385804786</v>
      </c>
      <c r="DZ50" s="56"/>
      <c r="EA50" s="56"/>
      <c r="EC50" s="2" t="e" vm="50">
        <v>#VALUE!</v>
      </c>
      <c r="EE50" s="10" cm="1">
        <f t="array" aca="1" ref="EE50" ca="1">_FV(EC50,"Ações em circulação",TRUE)</f>
        <v>96226960</v>
      </c>
      <c r="EF50" s="18">
        <f>VLOOKUP(BM50,Fundamentus!A:U,5,FALSE)</f>
        <v>14.282999999999999</v>
      </c>
      <c r="EG50" s="2">
        <f t="shared" ca="1" si="20"/>
        <v>68314876.034446552</v>
      </c>
      <c r="EH50" s="17">
        <v>9803184.7109430786</v>
      </c>
      <c r="EI50" s="17">
        <f t="shared" ca="1" si="21"/>
        <v>9803184.7109430786</v>
      </c>
      <c r="EK50" s="16">
        <f t="shared" ca="1" si="22"/>
        <v>0</v>
      </c>
      <c r="EL50" s="32" t="str">
        <f>IF(VLOOKUP(BM50,Fundamentus!A:U,3,FALSE)&lt;15,"Bom",IF(VLOOKUP(BM50,Fundamentus!A:U,3,FALSE)&gt;15,"Ruim","n/a"))</f>
        <v>Ruim</v>
      </c>
      <c r="EM50" s="28" t="str">
        <f>IF(VLOOKUP(BM50,Fundamentus!A:U,4,FALSE)&lt;1,"Baixo",IF(VLOOKUP(BM50,Fundamentus!A:U,4,FALSE)&lt;1.5,"Moderado",IF(VLOOKUP(BM50,Fundamentus!A:U,4,FALSE)&gt;1.5,"Alto","n/a")))</f>
        <v>Moderado</v>
      </c>
      <c r="EN50" s="17" t="str">
        <f>IF(VLOOKUP(BM50,Fundamentus!A:U,8,FALSE)&lt;0,"Risco elevado",IF(VLOOKUP(BM50,Fundamentus!A:U,8,FALSE)&lt;1,"Saudável",IF(VLOOKUP(BM50,Fundamentus!A:U,8,FALSE)&lt;3,"Estável",IF(VLOOKUP(BM50,Fundamentus!A:U,8,FALSE)&gt;3,"Alerta","n/a"))))</f>
        <v>Risco elevado</v>
      </c>
      <c r="EO50" s="28" t="str">
        <f t="shared" si="23"/>
        <v>Bom</v>
      </c>
      <c r="EP50" s="17" t="str">
        <f>IF(VLOOKUP(BM50,Fundamentus!A:U,12,FALSE)&lt;2,"Subvalorizada",IF(VLOOKUP(BM50,Fundamentus!A:U,12,FALSE)&lt;6,"Muita barata",IF(VLOOKUP(BM50,Fundamentus!A:U,12,FALSE)&lt;6,"Barata",IF(VLOOKUP(BM50,Fundamentus!A:U,12,FALSE)&lt;8,"Atrativa",IF(VLOOKUP(BM50,Fundamentus!A:U,12,FALSE)&gt;8,"Supervalorizada","n/a")))))</f>
        <v>Supervalorizada</v>
      </c>
      <c r="ER50" s="17" t="str">
        <f>IF(VLOOKUP(BM50,Fundamentus!A:U,17,FALSE)&lt;0.1,"Fraco retorno",IF(VLOOKUP(BM50,Fundamentus!A:U,17,FALSE)&gt;0.1,"Bom retorno","n/a"))</f>
        <v>Fraco retorno</v>
      </c>
      <c r="ES50" s="17" t="str">
        <f>IF(VLOOKUP(BM50,Fundamentus!A:U,16,FALSE)&lt;0.1,"Ineficiente",IF(VLOOKUP(BM50,Fundamentus!A:U,16,FALSE)&gt;0.1,"Eficiente","n/a"))</f>
        <v>Ineficiente</v>
      </c>
      <c r="ET50" s="33" t="str">
        <f>IF(VLOOKUP(BM50,Fundamentus!A:U,16,FALSE)&lt;0.1,"Oper. Ineficiente",IF(VLOOKUP(BM50,Fundamentus!A:U,16,FALSE)&gt;0.1,"Oper.Eficiente","n/a"))</f>
        <v>Oper. Ineficiente</v>
      </c>
      <c r="EU50" s="34">
        <f>VLOOKUP(BM50,Fundamentus!A:U,14,FALSE)</f>
        <v>0.14349999999999999</v>
      </c>
      <c r="EV50" s="17" t="str">
        <f>IF(VLOOKUP(BM50,Fundamentus!A:U,21,FALSE)&lt;0,"Negativo",IF(VLOOKUP(BM50,Fundamentus!A:U,21,FALSE)&lt;0.05,"Fraco",IF(VLOOKUP(BM50,Fundamentus!A:U,21,FALSE)&lt;0.1,"Bom",IF(VLOOKUP(BM50,Fundamentus!A:U,21,FALSE)&gt;0.1,"Muito bom","n/a"))))</f>
        <v>Negativo</v>
      </c>
      <c r="EX50" s="29" t="str">
        <f>IF(VLOOKUP(BM50,Fundamentus!A:U,15,FALSE)&gt;1,"Bom",IF(VLOOKUP(BM50,Fundamentus!A:U,15,FALSE)&lt;1,"Ruim","n/a"))</f>
        <v>Ruim</v>
      </c>
      <c r="EY50" s="17" t="str">
        <f>IF(VLOOKUP(BM50,Fundamentus!A:U,20,FALSE)&lt;0.5,"Baixa",IF(VLOOKUP(BM50,Fundamentus!A:U,20,FALSE)&lt;1,"Moderada",IF(VLOOKUP(BM50,Fundamentus!A:U,20,FALSE)&lt;2,"Alerta",IF(VLOOKUP(BM50,Fundamentus!A:U,20,FALSE)&gt;2,"Alta","n/a"))))</f>
        <v>Baixa</v>
      </c>
    </row>
    <row r="51" spans="1:155" s="2" customFormat="1" ht="11.25" x14ac:dyDescent="0.2">
      <c r="A51" s="4">
        <v>19.66</v>
      </c>
      <c r="B51" s="4">
        <v>19.350000000000001</v>
      </c>
      <c r="C51" s="4">
        <v>19.55</v>
      </c>
      <c r="D51" s="4">
        <v>18.690000000000001</v>
      </c>
      <c r="E51" s="4">
        <v>18.04</v>
      </c>
      <c r="F51" s="4">
        <v>16.97</v>
      </c>
      <c r="G51" s="4">
        <v>17</v>
      </c>
      <c r="H51" s="4">
        <v>17.739999999999998</v>
      </c>
      <c r="I51" s="4">
        <v>18.399999999999999</v>
      </c>
      <c r="J51" s="4">
        <v>18</v>
      </c>
      <c r="K51" s="4">
        <v>18.27</v>
      </c>
      <c r="L51" s="4">
        <v>18.79</v>
      </c>
      <c r="M51" s="4">
        <v>18.32</v>
      </c>
      <c r="N51" s="4">
        <v>17.329999999999998</v>
      </c>
      <c r="O51" s="4">
        <v>17.510000000000002</v>
      </c>
      <c r="P51" s="4">
        <v>17.21</v>
      </c>
      <c r="Q51" s="4">
        <v>18.28</v>
      </c>
      <c r="R51" s="4">
        <v>18.3</v>
      </c>
      <c r="S51" s="4">
        <v>18.170000000000002</v>
      </c>
      <c r="T51" s="4">
        <v>18.8</v>
      </c>
      <c r="U51" s="4">
        <v>18.05</v>
      </c>
      <c r="V51" s="4">
        <v>19</v>
      </c>
      <c r="W51" s="4">
        <v>19.18</v>
      </c>
      <c r="X51" s="4">
        <v>18.43</v>
      </c>
      <c r="Y51" s="4">
        <v>18.09</v>
      </c>
      <c r="Z51" s="4">
        <v>17.989999999999998</v>
      </c>
      <c r="AA51" s="4">
        <v>18.2</v>
      </c>
      <c r="AB51" s="4">
        <v>20.41</v>
      </c>
      <c r="AC51" s="4">
        <v>20.03</v>
      </c>
      <c r="AD51" s="4">
        <v>19.79</v>
      </c>
      <c r="AE51" s="4">
        <v>20.3</v>
      </c>
      <c r="AF51" s="4">
        <v>20.47</v>
      </c>
      <c r="AG51" s="4">
        <v>20</v>
      </c>
      <c r="AH51" s="4">
        <v>18.760000000000002</v>
      </c>
      <c r="AI51" s="4">
        <v>18.34</v>
      </c>
      <c r="AJ51" s="4">
        <v>17.32</v>
      </c>
      <c r="AK51" s="4">
        <v>16.8</v>
      </c>
      <c r="AL51" s="4">
        <v>17.37</v>
      </c>
      <c r="AM51" s="4">
        <v>17.559999999999999</v>
      </c>
      <c r="AN51" s="4">
        <v>17.22</v>
      </c>
      <c r="AO51" s="4">
        <v>16.7</v>
      </c>
      <c r="AP51" s="4">
        <v>17.579999999999998</v>
      </c>
      <c r="AQ51" s="4">
        <v>16.22</v>
      </c>
      <c r="AR51" s="4">
        <v>16.66</v>
      </c>
      <c r="AS51" s="4">
        <v>16.96</v>
      </c>
      <c r="AT51" s="4">
        <v>16.91</v>
      </c>
      <c r="AU51" s="4">
        <v>17.135000000000002</v>
      </c>
      <c r="AV51" s="4">
        <v>16.899999999999999</v>
      </c>
      <c r="AW51" s="4">
        <v>15.15</v>
      </c>
      <c r="AX51" s="4">
        <v>14.68</v>
      </c>
      <c r="AY51" s="12">
        <v>14.95</v>
      </c>
      <c r="AZ51" s="12">
        <v>15.33</v>
      </c>
      <c r="BA51" s="12">
        <v>14.99</v>
      </c>
      <c r="BB51" s="15">
        <v>14.9</v>
      </c>
      <c r="BC51" s="52">
        <v>15.71</v>
      </c>
      <c r="BD51" s="52">
        <v>15.45</v>
      </c>
      <c r="BE51" s="52">
        <v>15.25</v>
      </c>
      <c r="BF51" s="52">
        <v>16.690000000000001</v>
      </c>
      <c r="BG51" s="67">
        <v>16.760000000000002</v>
      </c>
      <c r="BH51" s="52">
        <v>16.010000000000002</v>
      </c>
      <c r="BI51" s="52">
        <v>15.9</v>
      </c>
      <c r="BJ51" s="52">
        <v>16.78</v>
      </c>
      <c r="BK51" s="52">
        <v>16.690000000000001</v>
      </c>
      <c r="BL51" s="52" cm="1">
        <f t="array" aca="1" ref="BL51" ca="1">_FV(EC51,"Preço")</f>
        <v>16.690000000000001</v>
      </c>
      <c r="BM51" s="69" t="s">
        <v>48</v>
      </c>
      <c r="BN51" s="36" cm="1">
        <f t="array" aca="1" ref="BN51" ca="1">_FV(EC51,"Média de volume",TRUE)</f>
        <v>8534910</v>
      </c>
      <c r="BO51" s="36">
        <v>11692100</v>
      </c>
      <c r="BP51" s="36" cm="1">
        <f t="array" aca="1" ref="BP51" ca="1">_FV(EC51,"Volume")</f>
        <v>11692100</v>
      </c>
      <c r="BQ51" s="24" cm="1">
        <f t="array" aca="1" ref="BQ51" ca="1">_FV(EC51,"Beta")</f>
        <v>0.63539999999999996</v>
      </c>
      <c r="BR51" s="71" cm="1">
        <f t="array" aca="1" ref="BR51" ca="1">_FV(EC51,"Variação (%)",TRUE)</f>
        <v>-1.1255999999999999E-2</v>
      </c>
      <c r="BT51" s="17" cm="1">
        <f t="array" aca="1" ref="BT51" ca="1">_FV(EC51,"Baixo")</f>
        <v>16.46</v>
      </c>
      <c r="BU51" s="17" cm="1">
        <f t="array" aca="1" ref="BU51" ca="1">_FV(EC51,"Alto")</f>
        <v>16.84</v>
      </c>
      <c r="BV51" s="24"/>
      <c r="BW51" s="63">
        <f ca="1">SQRT(22.5*(BL51/VLOOKUP(BM51,Fundamentus!A:U,3,FALSE))*(BL51/VLOOKUP(BM51,Fundamentus!A:U,4,FALSE)))</f>
        <v>31.446687466843134</v>
      </c>
      <c r="BY51" s="62">
        <f t="shared" ca="1" si="24"/>
        <v>0</v>
      </c>
      <c r="BZ51" s="8"/>
      <c r="CA51" s="61">
        <f t="shared" si="25"/>
        <v>14.68</v>
      </c>
      <c r="CB51" s="61">
        <f t="shared" si="26"/>
        <v>20.47</v>
      </c>
      <c r="CC51" s="61">
        <f t="shared" si="27"/>
        <v>17.587222222222223</v>
      </c>
      <c r="CD51" s="14"/>
      <c r="CE51" s="35">
        <f t="shared" si="1"/>
        <v>15.754574700175066</v>
      </c>
      <c r="CF51" s="15">
        <f t="shared" si="28"/>
        <v>16.490999999999985</v>
      </c>
      <c r="CG51" s="35">
        <f t="shared" si="2"/>
        <v>17.227425299824905</v>
      </c>
      <c r="CI51" s="14"/>
      <c r="CJ51" s="17">
        <f t="shared" si="3"/>
        <v>8.36</v>
      </c>
      <c r="CK51" s="17">
        <f t="shared" si="4"/>
        <v>11.52</v>
      </c>
      <c r="CL51" s="17">
        <f t="shared" si="5"/>
        <v>14.149999999999999</v>
      </c>
      <c r="CM51" s="38">
        <f t="shared" si="29"/>
        <v>17.309999999999999</v>
      </c>
      <c r="CN51" s="17">
        <f t="shared" si="6"/>
        <v>19.939999999999998</v>
      </c>
      <c r="CO51" s="17">
        <f t="shared" si="7"/>
        <v>23.099999999999998</v>
      </c>
      <c r="CP51" s="17">
        <f t="shared" si="8"/>
        <v>25.729999999999997</v>
      </c>
      <c r="CQ51" s="2" cm="1">
        <f t="array" aca="1" ref="CQ51" ca="1">MAX(_xlfn._xlws.FILTER(CJ51:CP51,CJ51:CP51&lt;BL51))</f>
        <v>14.149999999999999</v>
      </c>
      <c r="CR51" s="2" cm="1">
        <f t="array" aca="1" ref="CR51" ca="1">MIN(_xlfn._xlws.FILTER($CJ51:$CP51,$CJ51:$CP51&gt;BL51))</f>
        <v>17.309999999999999</v>
      </c>
      <c r="CS51" s="16">
        <f t="shared" ref="CS51:CS82" ca="1" si="80">(CR51/CQ51)-1</f>
        <v>0.22332155477031801</v>
      </c>
      <c r="CT51" s="20">
        <f t="shared" ref="CT51:CT82" ca="1" si="81">-$CS51/2</f>
        <v>-0.111660777385159</v>
      </c>
      <c r="CU51" s="20">
        <f t="shared" ref="CU51:CU82" ca="1" si="82">-$CS51/3</f>
        <v>-7.444051825677267E-2</v>
      </c>
      <c r="CV51" s="20">
        <f t="shared" ref="CV51:CV82" ca="1" si="83">-$CS51/5</f>
        <v>-4.4664310954063605E-2</v>
      </c>
      <c r="CW51" s="20">
        <f t="shared" ref="CW51:CW82" ca="1" si="84">-$CS51/9</f>
        <v>-2.4813506085590891E-2</v>
      </c>
      <c r="CX51" s="20">
        <f t="shared" ref="CX51:CX82" ca="1" si="85">-$CS51/17</f>
        <v>-1.3136562045312824E-2</v>
      </c>
      <c r="CY51" s="20">
        <f t="shared" ref="CY51:CY82" ca="1" si="86">-$CS51/33</f>
        <v>-6.7673198415247882E-3</v>
      </c>
      <c r="CZ51" s="20">
        <f t="shared" ref="CZ51:CZ82" ca="1" si="87">-$CS51/65</f>
        <v>-3.4357162272356618E-3</v>
      </c>
      <c r="DA51" s="21">
        <f t="shared" ref="DA51:DA82" ca="1" si="88">-$CS51/65*-1</f>
        <v>3.4357162272356618E-3</v>
      </c>
      <c r="DB51" s="21">
        <f t="shared" ref="DB51:DB82" ca="1" si="89">-$CS51/33*-1</f>
        <v>6.7673198415247882E-3</v>
      </c>
      <c r="DC51" s="21">
        <f t="shared" ref="DC51:DC82" ca="1" si="90">-$CS51/17*-1</f>
        <v>1.3136562045312824E-2</v>
      </c>
      <c r="DD51" s="21">
        <f t="shared" ref="DD51:DD82" ca="1" si="91">-$CS51/9*-1</f>
        <v>2.4813506085590891E-2</v>
      </c>
      <c r="DE51" s="21">
        <f t="shared" ref="DE51:DE82" ca="1" si="92">-$CS51/5*-1</f>
        <v>4.4664310954063605E-2</v>
      </c>
      <c r="DF51" s="21">
        <f t="shared" ref="DF51:DF82" ca="1" si="93">-$CS51/3*-1</f>
        <v>7.444051825677267E-2</v>
      </c>
      <c r="DG51" s="21">
        <f t="shared" ref="DG51:DG82" ca="1" si="94">-$CS51/2*-1</f>
        <v>0.111660777385159</v>
      </c>
      <c r="DI51" s="16" cm="1">
        <f t="array" aca="1" ref="DI51" ca="1">MAX(_xlfn._xlws.FILTER(CT51:DG51,CT51:DG51&lt;BR51))</f>
        <v>-1.3136562045312824E-2</v>
      </c>
      <c r="DJ51" s="16" cm="1">
        <f t="array" aca="1" ref="DJ51" ca="1">MIN(_xlfn._xlws.FILTER(CT51:DG51,CT51:DG51&gt;BR51))</f>
        <v>-6.7673198415247882E-3</v>
      </c>
      <c r="DK51" s="2" cm="1">
        <f t="array" aca="1" ref="DK51" ca="1">_FV(EC51,"Fechamento anterior",TRUE)</f>
        <v>16.88</v>
      </c>
      <c r="DL51" s="28">
        <f t="shared" ca="1" si="15"/>
        <v>0.29526870144430978</v>
      </c>
      <c r="DM51" s="15">
        <f t="shared" ref="DM51:DM82" ca="1" si="95">DK51+(DK51*DI51)</f>
        <v>16.658254832675119</v>
      </c>
      <c r="DN51" s="15">
        <f t="shared" ref="DN51:DN82" ca="1" si="96">DK51+(DK51*DJ51)</f>
        <v>16.765767641075062</v>
      </c>
      <c r="DO51" s="9"/>
      <c r="DP51" s="9"/>
      <c r="DQ51" s="9"/>
      <c r="DR51" s="89">
        <v>4.2123402422095642E-3</v>
      </c>
      <c r="DS51" s="89">
        <v>6.3886993995042902E-3</v>
      </c>
      <c r="DT51" s="89">
        <v>6.8714324544713237E-3</v>
      </c>
      <c r="DU51" s="89">
        <v>6.3692422037880357E-3</v>
      </c>
      <c r="DV51" s="89">
        <f t="shared" ca="1" si="18"/>
        <v>6.3692422037880357E-3</v>
      </c>
      <c r="DW51" s="72">
        <f t="shared" ca="1" si="19"/>
        <v>0.27022428486273747</v>
      </c>
      <c r="DX51" s="37"/>
      <c r="DY51" s="35">
        <f t="shared" si="39"/>
        <v>0.36821264991245989</v>
      </c>
      <c r="DZ51" s="56"/>
      <c r="EA51" s="56"/>
      <c r="EC51" s="2" t="e" vm="51">
        <v>#VALUE!</v>
      </c>
      <c r="EE51" s="10" cm="1">
        <f t="array" aca="1" ref="EE51" ca="1">_FV(EC51,"Ações em circulação",TRUE)</f>
        <v>2028195000</v>
      </c>
      <c r="EF51" s="18">
        <f>VLOOKUP(BM51,Fundamentus!A:U,5,FALSE)</f>
        <v>0.498</v>
      </c>
      <c r="EG51" s="2">
        <f t="shared" ca="1" si="20"/>
        <v>67973041265.060249</v>
      </c>
      <c r="EH51" s="17">
        <v>3296692501.355422</v>
      </c>
      <c r="EI51" s="17">
        <f t="shared" ca="1" si="21"/>
        <v>3296692501.355422</v>
      </c>
      <c r="EK51" s="16">
        <f t="shared" ca="1" si="22"/>
        <v>0</v>
      </c>
      <c r="EL51" s="32" t="str">
        <f>IF(VLOOKUP(BM51,Fundamentus!A:U,3,FALSE)&lt;15,"Bom",IF(VLOOKUP(BM51,Fundamentus!A:U,3,FALSE)&gt;15,"Ruim","n/a"))</f>
        <v>Bom</v>
      </c>
      <c r="EM51" s="28" t="str">
        <f>IF(VLOOKUP(BM51,Fundamentus!A:U,4,FALSE)&lt;1,"Baixo",IF(VLOOKUP(BM51,Fundamentus!A:U,4,FALSE)&lt;1.5,"Moderado",IF(VLOOKUP(BM51,Fundamentus!A:U,4,FALSE)&gt;1.5,"Alto","n/a")))</f>
        <v>Baixo</v>
      </c>
      <c r="EN51" s="17" t="str">
        <f>IF(VLOOKUP(BM51,Fundamentus!A:U,8,FALSE)&lt;0,"Risco elevado",IF(VLOOKUP(BM51,Fundamentus!A:U,8,FALSE)&lt;1,"Saudável",IF(VLOOKUP(BM51,Fundamentus!A:U,8,FALSE)&lt;3,"Estável",IF(VLOOKUP(BM51,Fundamentus!A:U,8,FALSE)&gt;3,"Alerta","n/a"))))</f>
        <v>Estável</v>
      </c>
      <c r="EO51" s="28" t="str">
        <f t="shared" si="23"/>
        <v>Ruim</v>
      </c>
      <c r="EP51" s="17" t="str">
        <f>IF(VLOOKUP(BM51,Fundamentus!A:U,12,FALSE)&lt;2,"Subvalorizada",IF(VLOOKUP(BM51,Fundamentus!A:U,12,FALSE)&lt;6,"Muita barata",IF(VLOOKUP(BM51,Fundamentus!A:U,12,FALSE)&lt;6,"Barata",IF(VLOOKUP(BM51,Fundamentus!A:U,12,FALSE)&lt;8,"Atrativa",IF(VLOOKUP(BM51,Fundamentus!A:U,12,FALSE)&gt;8,"Supervalorizada","n/a")))))</f>
        <v>Muita barata</v>
      </c>
      <c r="ER51" s="17" t="str">
        <f>IF(VLOOKUP(BM51,Fundamentus!A:U,17,FALSE)&lt;0.1,"Fraco retorno",IF(VLOOKUP(BM51,Fundamentus!A:U,17,FALSE)&gt;0.1,"Bom retorno","n/a"))</f>
        <v>Fraco retorno</v>
      </c>
      <c r="ES51" s="17" t="str">
        <f>IF(VLOOKUP(BM51,Fundamentus!A:U,16,FALSE)&lt;0.1,"Ineficiente",IF(VLOOKUP(BM51,Fundamentus!A:U,16,FALSE)&gt;0.1,"Eficiente","n/a"))</f>
        <v>Ineficiente</v>
      </c>
      <c r="ET51" s="33" t="str">
        <f>IF(VLOOKUP(BM51,Fundamentus!A:U,16,FALSE)&lt;0.1,"Oper. Ineficiente",IF(VLOOKUP(BM51,Fundamentus!A:U,16,FALSE)&gt;0.1,"Oper.Eficiente","n/a"))</f>
        <v>Oper. Ineficiente</v>
      </c>
      <c r="EU51" s="34">
        <f>VLOOKUP(BM51,Fundamentus!A:U,14,FALSE)</f>
        <v>4.8500000000000001E-2</v>
      </c>
      <c r="EV51" s="17" t="str">
        <f>IF(VLOOKUP(BM51,Fundamentus!A:U,21,FALSE)&lt;0,"Negativo",IF(VLOOKUP(BM51,Fundamentus!A:U,21,FALSE)&lt;0.05,"Fraco",IF(VLOOKUP(BM51,Fundamentus!A:U,21,FALSE)&lt;0.1,"Bom",IF(VLOOKUP(BM51,Fundamentus!A:U,21,FALSE)&gt;0.1,"Muito bom","n/a"))))</f>
        <v>Fraco</v>
      </c>
      <c r="EX51" s="29" t="str">
        <f>IF(VLOOKUP(BM51,Fundamentus!A:U,15,FALSE)&gt;1,"Bom",IF(VLOOKUP(BM51,Fundamentus!A:U,15,FALSE)&lt;1,"Ruim","n/a"))</f>
        <v>Bom</v>
      </c>
      <c r="EY51" s="17" t="str">
        <f>IF(VLOOKUP(BM51,Fundamentus!A:U,20,FALSE)&lt;0.5,"Baixa",IF(VLOOKUP(BM51,Fundamentus!A:U,20,FALSE)&lt;1,"Moderada",IF(VLOOKUP(BM51,Fundamentus!A:U,20,FALSE)&lt;2,"Alerta",IF(VLOOKUP(BM51,Fundamentus!A:U,20,FALSE)&gt;2,"Alta","n/a"))))</f>
        <v>Baixa</v>
      </c>
    </row>
    <row r="52" spans="1:155" s="5" customFormat="1" ht="11.25" x14ac:dyDescent="0.2">
      <c r="A52" s="4">
        <v>9.82</v>
      </c>
      <c r="B52" s="4">
        <v>9.93</v>
      </c>
      <c r="C52" s="4">
        <v>10.26</v>
      </c>
      <c r="D52" s="4">
        <v>9.9700000000000006</v>
      </c>
      <c r="E52" s="4">
        <v>9.7100000000000009</v>
      </c>
      <c r="F52" s="4">
        <v>9.6999999999999993</v>
      </c>
      <c r="G52" s="4">
        <v>9.57</v>
      </c>
      <c r="H52" s="4">
        <v>9.68</v>
      </c>
      <c r="I52" s="4">
        <v>9.7799999999999994</v>
      </c>
      <c r="J52" s="4">
        <v>9.9499999999999993</v>
      </c>
      <c r="K52" s="4">
        <v>10.210000000000001</v>
      </c>
      <c r="L52" s="4">
        <v>10.36</v>
      </c>
      <c r="M52" s="4">
        <v>10.29</v>
      </c>
      <c r="N52" s="4">
        <v>9.84</v>
      </c>
      <c r="O52" s="4">
        <v>10.35</v>
      </c>
      <c r="P52" s="4">
        <v>10.91</v>
      </c>
      <c r="Q52" s="4">
        <v>10.96</v>
      </c>
      <c r="R52" s="4">
        <v>10.96</v>
      </c>
      <c r="S52" s="4">
        <v>11.12</v>
      </c>
      <c r="T52" s="4">
        <v>11.2</v>
      </c>
      <c r="U52" s="4">
        <v>10.97</v>
      </c>
      <c r="V52" s="4">
        <v>11.15</v>
      </c>
      <c r="W52" s="4">
        <v>10.62</v>
      </c>
      <c r="X52" s="4">
        <v>10.47</v>
      </c>
      <c r="Y52" s="4">
        <v>10.54</v>
      </c>
      <c r="Z52" s="4">
        <v>10.65</v>
      </c>
      <c r="AA52" s="4">
        <v>10.51</v>
      </c>
      <c r="AB52" s="4">
        <v>10.69</v>
      </c>
      <c r="AC52" s="4">
        <v>10.42</v>
      </c>
      <c r="AD52" s="4">
        <v>10.27</v>
      </c>
      <c r="AE52" s="4">
        <v>9.75</v>
      </c>
      <c r="AF52" s="4">
        <v>9.27</v>
      </c>
      <c r="AG52" s="4">
        <v>9.17</v>
      </c>
      <c r="AH52" s="4">
        <v>8.8000000000000007</v>
      </c>
      <c r="AI52" s="4">
        <v>8.83</v>
      </c>
      <c r="AJ52" s="4">
        <v>8.5299999999999994</v>
      </c>
      <c r="AK52" s="4">
        <v>8.66</v>
      </c>
      <c r="AL52" s="4">
        <v>9.0500000000000007</v>
      </c>
      <c r="AM52" s="4">
        <v>9.15</v>
      </c>
      <c r="AN52" s="4">
        <v>9.5299999999999994</v>
      </c>
      <c r="AO52" s="4">
        <v>9.52</v>
      </c>
      <c r="AP52" s="4">
        <v>9.81</v>
      </c>
      <c r="AQ52" s="4">
        <v>9.08</v>
      </c>
      <c r="AR52" s="4">
        <v>8.7899999999999991</v>
      </c>
      <c r="AS52" s="4">
        <v>8.9600000000000009</v>
      </c>
      <c r="AT52" s="4">
        <v>9.26</v>
      </c>
      <c r="AU52" s="4">
        <v>9.5799999999999983</v>
      </c>
      <c r="AV52" s="4">
        <v>9.6199999999999992</v>
      </c>
      <c r="AW52" s="4">
        <v>9.34</v>
      </c>
      <c r="AX52" s="4">
        <v>9.65</v>
      </c>
      <c r="AY52" s="12">
        <v>9.9499999999999993</v>
      </c>
      <c r="AZ52" s="12">
        <v>10.57</v>
      </c>
      <c r="BA52" s="12">
        <v>10.7</v>
      </c>
      <c r="BB52" s="15">
        <v>10.6</v>
      </c>
      <c r="BC52" s="52">
        <v>11.14</v>
      </c>
      <c r="BD52" s="52">
        <v>11.14</v>
      </c>
      <c r="BE52" s="52">
        <v>11.07</v>
      </c>
      <c r="BF52" s="52">
        <v>10.81</v>
      </c>
      <c r="BG52" s="67">
        <v>10.71</v>
      </c>
      <c r="BH52" s="52">
        <v>10.81</v>
      </c>
      <c r="BI52" s="52">
        <v>10.71</v>
      </c>
      <c r="BJ52" s="52">
        <v>11.12</v>
      </c>
      <c r="BK52" s="52">
        <v>10.48</v>
      </c>
      <c r="BL52" s="52" cm="1">
        <f t="array" aca="1" ref="BL52" ca="1">_FV(EC52,"Preço")</f>
        <v>10.48</v>
      </c>
      <c r="BM52" s="69" t="s">
        <v>49</v>
      </c>
      <c r="BN52" s="36" cm="1">
        <f t="array" aca="1" ref="BN52" ca="1">_FV(EC52,"Média de volume",TRUE)</f>
        <v>19179470</v>
      </c>
      <c r="BO52" s="36">
        <v>30789300</v>
      </c>
      <c r="BP52" s="36" cm="1">
        <f t="array" aca="1" ref="BP52" ca="1">_FV(EC52,"Volume")</f>
        <v>30789300</v>
      </c>
      <c r="BQ52" s="24" cm="1">
        <f t="array" aca="1" ref="BQ52" ca="1">_FV(EC52,"Beta")</f>
        <v>1.1915</v>
      </c>
      <c r="BR52" s="71" cm="1">
        <f t="array" aca="1" ref="BR52" ca="1">_FV(EC52,"Variação (%)",TRUE)</f>
        <v>-6.6349999999999994E-3</v>
      </c>
      <c r="BT52" s="17" cm="1">
        <f t="array" aca="1" ref="BT52" ca="1">_FV(EC52,"Baixo")</f>
        <v>10.37</v>
      </c>
      <c r="BU52" s="17" cm="1">
        <f t="array" aca="1" ref="BU52" ca="1">_FV(EC52,"Alto")</f>
        <v>10.52</v>
      </c>
      <c r="BV52" s="24"/>
      <c r="BW52" s="63">
        <f ca="1">SQRT(22.5*(BL52/VLOOKUP(BM52,Fundamentus!A:U,3,FALSE))*(BL52/VLOOKUP(BM52,Fundamentus!A:U,4,FALSE)))</f>
        <v>15.265877664887382</v>
      </c>
      <c r="BY52" s="62">
        <f t="shared" ca="1" si="24"/>
        <v>0</v>
      </c>
      <c r="BZ52" s="8"/>
      <c r="CA52" s="61">
        <f t="shared" si="25"/>
        <v>8.5299999999999994</v>
      </c>
      <c r="CB52" s="61">
        <f t="shared" si="26"/>
        <v>11.2</v>
      </c>
      <c r="CC52" s="61">
        <f t="shared" si="27"/>
        <v>10.079682539682539</v>
      </c>
      <c r="CD52" s="14"/>
      <c r="CE52" s="35">
        <f t="shared" si="1"/>
        <v>10.37070771474799</v>
      </c>
      <c r="CF52" s="15">
        <f t="shared" si="28"/>
        <v>10.751000000000033</v>
      </c>
      <c r="CG52" s="35">
        <f t="shared" si="2"/>
        <v>11.131292285252076</v>
      </c>
      <c r="CI52" s="14"/>
      <c r="CJ52" s="17">
        <f t="shared" si="3"/>
        <v>6.6966666666666637</v>
      </c>
      <c r="CK52" s="17">
        <f t="shared" si="4"/>
        <v>7.6133333333333315</v>
      </c>
      <c r="CL52" s="17">
        <f t="shared" si="5"/>
        <v>9.3666666666666636</v>
      </c>
      <c r="CM52" s="38">
        <f t="shared" si="29"/>
        <v>10.283333333333331</v>
      </c>
      <c r="CN52" s="17">
        <f t="shared" si="6"/>
        <v>12.036666666666664</v>
      </c>
      <c r="CO52" s="17">
        <f t="shared" si="7"/>
        <v>12.953333333333331</v>
      </c>
      <c r="CP52" s="17">
        <f t="shared" si="8"/>
        <v>14.706666666666663</v>
      </c>
      <c r="CQ52" s="2" cm="1">
        <f t="array" aca="1" ref="CQ52" ca="1">MAX(_xlfn._xlws.FILTER(CJ52:CP52,CJ52:CP52&lt;BL52))</f>
        <v>10.283333333333331</v>
      </c>
      <c r="CR52" s="2" cm="1">
        <f t="array" aca="1" ref="CR52" ca="1">MIN(_xlfn._xlws.FILTER($CJ52:$CP52,$CJ52:$CP52&gt;BL52))</f>
        <v>12.036666666666664</v>
      </c>
      <c r="CS52" s="16">
        <f t="shared" ca="1" si="80"/>
        <v>0.17050243111831431</v>
      </c>
      <c r="CT52" s="20">
        <f t="shared" ca="1" si="81"/>
        <v>-8.5251215559157156E-2</v>
      </c>
      <c r="CU52" s="20">
        <f t="shared" ca="1" si="82"/>
        <v>-5.6834143706104769E-2</v>
      </c>
      <c r="CV52" s="20">
        <f t="shared" ca="1" si="83"/>
        <v>-3.4100486223662865E-2</v>
      </c>
      <c r="CW52" s="20">
        <f t="shared" ca="1" si="84"/>
        <v>-1.8944714568701591E-2</v>
      </c>
      <c r="CX52" s="20">
        <f t="shared" ca="1" si="85"/>
        <v>-1.0029554771665547E-2</v>
      </c>
      <c r="CY52" s="20">
        <f t="shared" ca="1" si="86"/>
        <v>-5.1667403369186158E-3</v>
      </c>
      <c r="CZ52" s="20">
        <f t="shared" ca="1" si="87"/>
        <v>-2.6231143248971432E-3</v>
      </c>
      <c r="DA52" s="21">
        <f t="shared" ca="1" si="88"/>
        <v>2.6231143248971432E-3</v>
      </c>
      <c r="DB52" s="21">
        <f t="shared" ca="1" si="89"/>
        <v>5.1667403369186158E-3</v>
      </c>
      <c r="DC52" s="21">
        <f t="shared" ca="1" si="90"/>
        <v>1.0029554771665547E-2</v>
      </c>
      <c r="DD52" s="21">
        <f t="shared" ca="1" si="91"/>
        <v>1.8944714568701591E-2</v>
      </c>
      <c r="DE52" s="21">
        <f t="shared" ca="1" si="92"/>
        <v>3.4100486223662865E-2</v>
      </c>
      <c r="DF52" s="21">
        <f t="shared" ca="1" si="93"/>
        <v>5.6834143706104769E-2</v>
      </c>
      <c r="DG52" s="21">
        <f t="shared" ca="1" si="94"/>
        <v>8.5251215559157156E-2</v>
      </c>
      <c r="DI52" s="16" cm="1">
        <f t="array" aca="1" ref="DI52" ca="1">MAX(_xlfn._xlws.FILTER(CT52:DG52,CT52:DG52&lt;BR52))</f>
        <v>-1.0029554771665547E-2</v>
      </c>
      <c r="DJ52" s="16" cm="1">
        <f t="array" aca="1" ref="DJ52" ca="1">MIN(_xlfn._xlws.FILTER(CT52:DG52,CT52:DG52&gt;BR52))</f>
        <v>-5.1667403369186158E-3</v>
      </c>
      <c r="DK52" s="2" cm="1">
        <f t="array" aca="1" ref="DK52" ca="1">_FV(EC52,"Fechamento anterior",TRUE)</f>
        <v>10.55</v>
      </c>
      <c r="DL52" s="28">
        <f t="shared" ca="1" si="15"/>
        <v>0.69804919088892992</v>
      </c>
      <c r="DM52" s="15">
        <f t="shared" ca="1" si="95"/>
        <v>10.44418819715893</v>
      </c>
      <c r="DN52" s="15">
        <f t="shared" ca="1" si="96"/>
        <v>10.495490889445509</v>
      </c>
      <c r="DO52" s="9"/>
      <c r="DP52" s="9"/>
      <c r="DQ52" s="9"/>
      <c r="DR52" s="89">
        <v>4.1233893010542786E-3</v>
      </c>
      <c r="DS52" s="89">
        <v>8.3309714599812765E-3</v>
      </c>
      <c r="DT52" s="89">
        <v>5.2462286497942864E-3</v>
      </c>
      <c r="DU52" s="89">
        <v>4.8628144347469312E-3</v>
      </c>
      <c r="DV52" s="89">
        <f t="shared" ca="1" si="18"/>
        <v>4.8628144347469312E-3</v>
      </c>
      <c r="DW52" s="72">
        <f t="shared" ca="1" si="19"/>
        <v>-0.71260977545317372</v>
      </c>
      <c r="DX52" s="37"/>
      <c r="DY52" s="35">
        <f t="shared" si="39"/>
        <v>0.19014614262602175</v>
      </c>
      <c r="DZ52" s="56"/>
      <c r="EA52" s="56"/>
      <c r="EC52" s="5" t="e" vm="52">
        <v>#VALUE!</v>
      </c>
      <c r="EE52" s="10" cm="1">
        <f t="array" aca="1" ref="EE52" ca="1">_FV(EC52,"Ações em circulação",TRUE)</f>
        <v>10993810000</v>
      </c>
      <c r="EF52" s="18">
        <f>VLOOKUP(BM52,Fundamentus!A:U,5,FALSE)</f>
        <v>14.356</v>
      </c>
      <c r="EG52" s="2">
        <f t="shared" ca="1" si="20"/>
        <v>8025573195.8762884</v>
      </c>
      <c r="EH52" s="17">
        <v>15055975315.463917</v>
      </c>
      <c r="EI52" s="17">
        <f t="shared" ca="1" si="21"/>
        <v>15055975315.463917</v>
      </c>
      <c r="EJ52" s="2"/>
      <c r="EK52" s="16">
        <f t="shared" ca="1" si="22"/>
        <v>0</v>
      </c>
      <c r="EL52" s="32" t="str">
        <f>IF(VLOOKUP(BM52,Fundamentus!A:U,3,FALSE)&lt;15,"Bom",IF(VLOOKUP(BM52,Fundamentus!A:U,3,FALSE)&gt;15,"Ruim","n/a"))</f>
        <v>Bom</v>
      </c>
      <c r="EM52" s="28" t="str">
        <f>IF(VLOOKUP(BM52,Fundamentus!A:U,4,FALSE)&lt;1,"Baixo",IF(VLOOKUP(BM52,Fundamentus!A:U,4,FALSE)&lt;1.5,"Moderado",IF(VLOOKUP(BM52,Fundamentus!A:U,4,FALSE)&gt;1.5,"Alto","n/a")))</f>
        <v>Moderado</v>
      </c>
      <c r="EN52" s="17" t="str">
        <f>IF(VLOOKUP(BM52,Fundamentus!A:U,8,FALSE)&lt;0,"Risco elevado",IF(VLOOKUP(BM52,Fundamentus!A:U,8,FALSE)&lt;1,"Saudável",IF(VLOOKUP(BM52,Fundamentus!A:U,8,FALSE)&lt;3,"Estável",IF(VLOOKUP(BM52,Fundamentus!A:U,8,FALSE)&gt;3,"Alerta","n/a"))))</f>
        <v>Alerta</v>
      </c>
      <c r="EO52" s="28" t="str">
        <f t="shared" si="23"/>
        <v>Bom</v>
      </c>
      <c r="EP52" s="17" t="str">
        <f>IF(VLOOKUP(BM52,Fundamentus!A:U,12,FALSE)&lt;2,"Subvalorizada",IF(VLOOKUP(BM52,Fundamentus!A:U,12,FALSE)&lt;6,"Muita barata",IF(VLOOKUP(BM52,Fundamentus!A:U,12,FALSE)&lt;6,"Barata",IF(VLOOKUP(BM52,Fundamentus!A:U,12,FALSE)&lt;8,"Atrativa",IF(VLOOKUP(BM52,Fundamentus!A:U,12,FALSE)&gt;8,"Supervalorizada","n/a")))))</f>
        <v>Supervalorizada</v>
      </c>
      <c r="EQ52" s="2"/>
      <c r="ER52" s="17" t="str">
        <f>IF(VLOOKUP(BM52,Fundamentus!A:U,17,FALSE)&lt;0.1,"Fraco retorno",IF(VLOOKUP(BM52,Fundamentus!A:U,17,FALSE)&gt;0.1,"Bom retorno","n/a"))</f>
        <v>Bom retorno</v>
      </c>
      <c r="ES52" s="17" t="str">
        <f>IF(VLOOKUP(BM52,Fundamentus!A:U,16,FALSE)&lt;0.1,"Ineficiente",IF(VLOOKUP(BM52,Fundamentus!A:U,16,FALSE)&gt;0.1,"Eficiente","n/a"))</f>
        <v>Ineficiente</v>
      </c>
      <c r="ET52" s="33" t="str">
        <f>IF(VLOOKUP(BM52,Fundamentus!A:U,16,FALSE)&lt;0.1,"Oper. Ineficiente",IF(VLOOKUP(BM52,Fundamentus!A:U,16,FALSE)&gt;0.1,"Oper.Eficiente","n/a"))</f>
        <v>Oper. Ineficiente</v>
      </c>
      <c r="EU52" s="34">
        <f>VLOOKUP(BM52,Fundamentus!A:U,14,FALSE)</f>
        <v>1.8759999999999999</v>
      </c>
      <c r="EV52" s="17" t="str">
        <f>IF(VLOOKUP(BM52,Fundamentus!A:U,21,FALSE)&lt;0,"Negativo",IF(VLOOKUP(BM52,Fundamentus!A:U,21,FALSE)&lt;0.05,"Fraco",IF(VLOOKUP(BM52,Fundamentus!A:U,21,FALSE)&lt;0.1,"Bom",IF(VLOOKUP(BM52,Fundamentus!A:U,21,FALSE)&gt;0.1,"Muito bom","n/a"))))</f>
        <v>Fraco</v>
      </c>
      <c r="EX52" s="29" t="str">
        <f>IF(VLOOKUP(BM52,Fundamentus!A:U,15,FALSE)&gt;1,"Bom",IF(VLOOKUP(BM52,Fundamentus!A:U,15,FALSE)&lt;1,"Ruim","n/a"))</f>
        <v>Bom</v>
      </c>
      <c r="EY52" s="17" t="str">
        <f>IF(VLOOKUP(BM52,Fundamentus!A:U,20,FALSE)&lt;0.5,"Baixa",IF(VLOOKUP(BM52,Fundamentus!A:U,20,FALSE)&lt;1,"Moderada",IF(VLOOKUP(BM52,Fundamentus!A:U,20,FALSE)&lt;2,"Alerta",IF(VLOOKUP(BM52,Fundamentus!A:U,20,FALSE)&gt;2,"Alta","n/a"))))</f>
        <v>Baixa</v>
      </c>
    </row>
    <row r="53" spans="1:155" s="2" customFormat="1" ht="11.25" x14ac:dyDescent="0.2">
      <c r="A53" s="4">
        <v>25.46</v>
      </c>
      <c r="B53" s="4">
        <v>23.53</v>
      </c>
      <c r="C53" s="4">
        <v>23.24</v>
      </c>
      <c r="D53" s="4">
        <v>21.86</v>
      </c>
      <c r="E53" s="4">
        <v>22.55</v>
      </c>
      <c r="F53" s="4">
        <v>22.6</v>
      </c>
      <c r="G53" s="4">
        <v>21.73</v>
      </c>
      <c r="H53" s="4">
        <v>21.9</v>
      </c>
      <c r="I53" s="4">
        <v>21.6</v>
      </c>
      <c r="J53" s="4">
        <v>23.05</v>
      </c>
      <c r="K53" s="4">
        <v>22.97</v>
      </c>
      <c r="L53" s="4">
        <v>22.36</v>
      </c>
      <c r="M53" s="4">
        <v>21.1</v>
      </c>
      <c r="N53" s="4">
        <v>20.68</v>
      </c>
      <c r="O53" s="4">
        <v>22.79</v>
      </c>
      <c r="P53" s="4">
        <v>22.88</v>
      </c>
      <c r="Q53" s="4">
        <v>23.3</v>
      </c>
      <c r="R53" s="4">
        <v>22.05</v>
      </c>
      <c r="S53" s="4">
        <v>22.19</v>
      </c>
      <c r="T53" s="4">
        <v>23.12</v>
      </c>
      <c r="U53" s="4">
        <v>22</v>
      </c>
      <c r="V53" s="4">
        <v>21.53</v>
      </c>
      <c r="W53" s="4">
        <v>22.05</v>
      </c>
      <c r="X53" s="4">
        <v>21.9</v>
      </c>
      <c r="Y53" s="4">
        <v>21.43</v>
      </c>
      <c r="Z53" s="4">
        <v>21.4</v>
      </c>
      <c r="AA53" s="4">
        <v>21.06</v>
      </c>
      <c r="AB53" s="4">
        <v>20.45</v>
      </c>
      <c r="AC53" s="4">
        <v>19.79</v>
      </c>
      <c r="AD53" s="4">
        <v>19.95</v>
      </c>
      <c r="AE53" s="4">
        <v>18.22</v>
      </c>
      <c r="AF53" s="4">
        <v>18.43</v>
      </c>
      <c r="AG53" s="4">
        <v>18.55</v>
      </c>
      <c r="AH53" s="4">
        <v>17.190000000000001</v>
      </c>
      <c r="AI53" s="4">
        <v>16.98</v>
      </c>
      <c r="AJ53" s="4">
        <v>16.7</v>
      </c>
      <c r="AK53" s="4">
        <v>17.5</v>
      </c>
      <c r="AL53" s="4">
        <v>17.91</v>
      </c>
      <c r="AM53" s="4">
        <v>18.68</v>
      </c>
      <c r="AN53" s="4">
        <v>19.48</v>
      </c>
      <c r="AO53" s="4">
        <v>18.38</v>
      </c>
      <c r="AP53" s="4">
        <v>19.37</v>
      </c>
      <c r="AQ53" s="4">
        <v>19.440000000000001</v>
      </c>
      <c r="AR53" s="4">
        <v>17.84</v>
      </c>
      <c r="AS53" s="4">
        <v>18.920000000000002</v>
      </c>
      <c r="AT53" s="4">
        <v>19.7</v>
      </c>
      <c r="AU53" s="4">
        <v>20.7</v>
      </c>
      <c r="AV53" s="4">
        <v>21.35</v>
      </c>
      <c r="AW53" s="4">
        <v>20.2</v>
      </c>
      <c r="AX53" s="4">
        <v>21.61</v>
      </c>
      <c r="AY53" s="12">
        <v>23.1</v>
      </c>
      <c r="AZ53" s="12">
        <v>24.14</v>
      </c>
      <c r="BA53" s="12">
        <v>24.45</v>
      </c>
      <c r="BB53" s="15">
        <v>23.37</v>
      </c>
      <c r="BC53" s="52">
        <v>22.95</v>
      </c>
      <c r="BD53" s="52">
        <v>23.28</v>
      </c>
      <c r="BE53" s="52">
        <v>24.01</v>
      </c>
      <c r="BF53" s="52">
        <v>24.31</v>
      </c>
      <c r="BG53" s="67">
        <v>24.17</v>
      </c>
      <c r="BH53" s="52">
        <v>23.91</v>
      </c>
      <c r="BI53" s="52">
        <v>24.29</v>
      </c>
      <c r="BJ53" s="52">
        <v>23.36</v>
      </c>
      <c r="BK53" s="52">
        <v>22.71</v>
      </c>
      <c r="BL53" s="52" cm="1">
        <f t="array" aca="1" ref="BL53" ca="1">_FV(EC53,"Preço")</f>
        <v>22.71</v>
      </c>
      <c r="BM53" s="69" t="s">
        <v>50</v>
      </c>
      <c r="BN53" s="36" cm="1">
        <f t="array" aca="1" ref="BN53" ca="1">_FV(EC53,"Média de volume",TRUE)</f>
        <v>4134990</v>
      </c>
      <c r="BO53" s="36">
        <v>3920700</v>
      </c>
      <c r="BP53" s="36" cm="1">
        <f t="array" aca="1" ref="BP53" ca="1">_FV(EC53,"Volume")</f>
        <v>3920700</v>
      </c>
      <c r="BQ53" s="24" cm="1">
        <f t="array" aca="1" ref="BQ53" ca="1">_FV(EC53,"Beta")</f>
        <v>2.1052</v>
      </c>
      <c r="BR53" s="71" cm="1">
        <f t="array" aca="1" ref="BR53" ca="1">_FV(EC53,"Variação (%)",TRUE)</f>
        <v>-8.7989999999999997E-4</v>
      </c>
      <c r="BT53" s="17" cm="1">
        <f t="array" aca="1" ref="BT53" ca="1">_FV(EC53,"Baixo")</f>
        <v>22.16</v>
      </c>
      <c r="BU53" s="17" cm="1">
        <f t="array" aca="1" ref="BU53" ca="1">_FV(EC53,"Alto")</f>
        <v>22.73</v>
      </c>
      <c r="BV53" s="24"/>
      <c r="BW53" s="63">
        <f ca="1">SQRT(22.5*(BL53/VLOOKUP(BM53,Fundamentus!A:U,3,FALSE))*(BL53/VLOOKUP(BM53,Fundamentus!A:U,4,FALSE)))</f>
        <v>11.950844051747454</v>
      </c>
      <c r="BY53" s="62">
        <f t="shared" ca="1" si="24"/>
        <v>0</v>
      </c>
      <c r="BZ53" s="8"/>
      <c r="CA53" s="61">
        <f t="shared" si="25"/>
        <v>16.7</v>
      </c>
      <c r="CB53" s="61">
        <f t="shared" si="26"/>
        <v>25.46</v>
      </c>
      <c r="CC53" s="61">
        <f t="shared" si="27"/>
        <v>21.392380952380954</v>
      </c>
      <c r="CD53" s="14"/>
      <c r="CE53" s="35">
        <f t="shared" si="1"/>
        <v>22.177532958973593</v>
      </c>
      <c r="CF53" s="15">
        <f t="shared" si="28"/>
        <v>23.341000000000349</v>
      </c>
      <c r="CG53" s="35">
        <f t="shared" si="2"/>
        <v>24.504467041027105</v>
      </c>
      <c r="CI53" s="14"/>
      <c r="CJ53" s="17">
        <f t="shared" si="3"/>
        <v>9.4599999999999973</v>
      </c>
      <c r="CK53" s="17">
        <f t="shared" si="4"/>
        <v>13.079999999999998</v>
      </c>
      <c r="CL53" s="17">
        <f t="shared" si="5"/>
        <v>18.22</v>
      </c>
      <c r="CM53" s="38">
        <f t="shared" si="29"/>
        <v>21.84</v>
      </c>
      <c r="CN53" s="17">
        <f t="shared" si="6"/>
        <v>26.98</v>
      </c>
      <c r="CO53" s="17">
        <f t="shared" si="7"/>
        <v>30.6</v>
      </c>
      <c r="CP53" s="17">
        <f t="shared" si="8"/>
        <v>35.74</v>
      </c>
      <c r="CQ53" s="2" cm="1">
        <f t="array" aca="1" ref="CQ53" ca="1">MAX(_xlfn._xlws.FILTER(CJ53:CP53,CJ53:CP53&lt;BL53))</f>
        <v>21.84</v>
      </c>
      <c r="CR53" s="2" cm="1">
        <f t="array" aca="1" ref="CR53" ca="1">MIN(_xlfn._xlws.FILTER($CJ53:$CP53,$CJ53:$CP53&gt;BL53))</f>
        <v>26.98</v>
      </c>
      <c r="CS53" s="16">
        <f t="shared" ca="1" si="80"/>
        <v>0.2353479853479854</v>
      </c>
      <c r="CT53" s="20">
        <f t="shared" ca="1" si="81"/>
        <v>-0.1176739926739927</v>
      </c>
      <c r="CU53" s="20">
        <f t="shared" ca="1" si="82"/>
        <v>-7.8449328449328462E-2</v>
      </c>
      <c r="CV53" s="20">
        <f t="shared" ca="1" si="83"/>
        <v>-4.7069597069597083E-2</v>
      </c>
      <c r="CW53" s="20">
        <f t="shared" ca="1" si="84"/>
        <v>-2.6149776149776156E-2</v>
      </c>
      <c r="CX53" s="20">
        <f t="shared" ca="1" si="85"/>
        <v>-1.3843999138116788E-2</v>
      </c>
      <c r="CY53" s="20">
        <f t="shared" ca="1" si="86"/>
        <v>-7.1317571317571337E-3</v>
      </c>
      <c r="CZ53" s="20">
        <f t="shared" ca="1" si="87"/>
        <v>-3.6207382361228523E-3</v>
      </c>
      <c r="DA53" s="21">
        <f t="shared" ca="1" si="88"/>
        <v>3.6207382361228523E-3</v>
      </c>
      <c r="DB53" s="21">
        <f t="shared" ca="1" si="89"/>
        <v>7.1317571317571337E-3</v>
      </c>
      <c r="DC53" s="21">
        <f t="shared" ca="1" si="90"/>
        <v>1.3843999138116788E-2</v>
      </c>
      <c r="DD53" s="21">
        <f t="shared" ca="1" si="91"/>
        <v>2.6149776149776156E-2</v>
      </c>
      <c r="DE53" s="21">
        <f t="shared" ca="1" si="92"/>
        <v>4.7069597069597083E-2</v>
      </c>
      <c r="DF53" s="21">
        <f t="shared" ca="1" si="93"/>
        <v>7.8449328449328462E-2</v>
      </c>
      <c r="DG53" s="21">
        <f t="shared" ca="1" si="94"/>
        <v>0.1176739926739927</v>
      </c>
      <c r="DI53" s="16" cm="1">
        <f t="array" aca="1" ref="DI53" ca="1">MAX(_xlfn._xlws.FILTER(CT53:DG53,CT53:DG53&lt;BR53))</f>
        <v>-3.6207382361228523E-3</v>
      </c>
      <c r="DJ53" s="16" cm="1">
        <f t="array" aca="1" ref="DJ53" ca="1">MIN(_xlfn._xlws.FILTER(CT53:DG53,CT53:DG53&gt;BR53))</f>
        <v>3.6207382361228523E-3</v>
      </c>
      <c r="DK53" s="2" cm="1">
        <f t="array" aca="1" ref="DK53" ca="1">_FV(EC53,"Fechamento anterior",TRUE)</f>
        <v>22.73</v>
      </c>
      <c r="DL53" s="28">
        <f t="shared" ca="1" si="15"/>
        <v>0.37849240192344685</v>
      </c>
      <c r="DM53" s="15">
        <f t="shared" ca="1" si="95"/>
        <v>22.647700619892927</v>
      </c>
      <c r="DN53" s="15">
        <f t="shared" ca="1" si="96"/>
        <v>22.812299380107074</v>
      </c>
      <c r="DO53" s="9"/>
      <c r="DP53" s="9"/>
      <c r="DQ53" s="9"/>
      <c r="DR53" s="89">
        <v>1.3547447964693133E-2</v>
      </c>
      <c r="DS53" s="89">
        <v>1.2794021573652834E-2</v>
      </c>
      <c r="DT53" s="89">
        <v>7.2414764722457045E-3</v>
      </c>
      <c r="DU53" s="89">
        <v>7.2414764722457045E-3</v>
      </c>
      <c r="DV53" s="89">
        <f t="shared" ca="1" si="18"/>
        <v>7.2414764722457045E-3</v>
      </c>
      <c r="DW53" s="72">
        <f t="shared" ca="1" si="19"/>
        <v>-0.54234454243198227</v>
      </c>
      <c r="DX53" s="37"/>
      <c r="DY53" s="35">
        <f t="shared" si="39"/>
        <v>0.58173352051337779</v>
      </c>
      <c r="DZ53" s="56"/>
      <c r="EA53" s="56"/>
      <c r="EC53" s="2" t="e" vm="53">
        <v>#VALUE!</v>
      </c>
      <c r="EE53" s="10" cm="1">
        <f t="array" aca="1" ref="EE53" ca="1">_FV(EC53,"Ações em circulação",TRUE)</f>
        <v>597250100</v>
      </c>
      <c r="EF53" s="18">
        <f>VLOOKUP(BM53,Fundamentus!A:U,5,FALSE)</f>
        <v>2.4060000000000001</v>
      </c>
      <c r="EG53" s="2">
        <f t="shared" ca="1" si="20"/>
        <v>5637385607.2319202</v>
      </c>
      <c r="EH53" s="17">
        <v>439152338.80336654</v>
      </c>
      <c r="EI53" s="17">
        <f t="shared" ca="1" si="21"/>
        <v>439152338.80336654</v>
      </c>
      <c r="EK53" s="16">
        <f t="shared" ca="1" si="22"/>
        <v>0</v>
      </c>
      <c r="EL53" s="32" t="str">
        <f>IF(VLOOKUP(BM53,Fundamentus!A:U,3,FALSE)&lt;15,"Bom",IF(VLOOKUP(BM53,Fundamentus!A:U,3,FALSE)&gt;15,"Ruim","n/a"))</f>
        <v>Ruim</v>
      </c>
      <c r="EM53" s="28" t="str">
        <f>IF(VLOOKUP(BM53,Fundamentus!A:U,4,FALSE)&lt;1,"Baixo",IF(VLOOKUP(BM53,Fundamentus!A:U,4,FALSE)&lt;1.5,"Moderado",IF(VLOOKUP(BM53,Fundamentus!A:U,4,FALSE)&gt;1.5,"Alto","n/a")))</f>
        <v>Alto</v>
      </c>
      <c r="EN53" s="17" t="str">
        <f>IF(VLOOKUP(BM53,Fundamentus!A:U,8,FALSE)&lt;0,"Risco elevado",IF(VLOOKUP(BM53,Fundamentus!A:U,8,FALSE)&lt;1,"Saudável",IF(VLOOKUP(BM53,Fundamentus!A:U,8,FALSE)&lt;3,"Estável",IF(VLOOKUP(BM53,Fundamentus!A:U,8,FALSE)&gt;3,"Alerta","n/a"))))</f>
        <v>Alerta</v>
      </c>
      <c r="EO53" s="28" t="str">
        <f t="shared" si="23"/>
        <v>Bom</v>
      </c>
      <c r="EP53" s="17" t="str">
        <f>IF(VLOOKUP(BM53,Fundamentus!A:U,12,FALSE)&lt;2,"Subvalorizada",IF(VLOOKUP(BM53,Fundamentus!A:U,12,FALSE)&lt;6,"Muita barata",IF(VLOOKUP(BM53,Fundamentus!A:U,12,FALSE)&lt;6,"Barata",IF(VLOOKUP(BM53,Fundamentus!A:U,12,FALSE)&lt;8,"Atrativa",IF(VLOOKUP(BM53,Fundamentus!A:U,12,FALSE)&gt;8,"Supervalorizada","n/a")))))</f>
        <v>Atrativa</v>
      </c>
      <c r="ER53" s="17" t="str">
        <f>IF(VLOOKUP(BM53,Fundamentus!A:U,17,FALSE)&lt;0.1,"Fraco retorno",IF(VLOOKUP(BM53,Fundamentus!A:U,17,FALSE)&gt;0.1,"Bom retorno","n/a"))</f>
        <v>Fraco retorno</v>
      </c>
      <c r="ES53" s="17" t="str">
        <f>IF(VLOOKUP(BM53,Fundamentus!A:U,16,FALSE)&lt;0.1,"Ineficiente",IF(VLOOKUP(BM53,Fundamentus!A:U,16,FALSE)&gt;0.1,"Eficiente","n/a"))</f>
        <v>Ineficiente</v>
      </c>
      <c r="ET53" s="33" t="str">
        <f>IF(VLOOKUP(BM53,Fundamentus!A:U,16,FALSE)&lt;0.1,"Oper. Ineficiente",IF(VLOOKUP(BM53,Fundamentus!A:U,16,FALSE)&gt;0.1,"Oper.Eficiente","n/a"))</f>
        <v>Oper. Ineficiente</v>
      </c>
      <c r="EU53" s="34">
        <f>VLOOKUP(BM53,Fundamentus!A:U,14,FALSE)</f>
        <v>7.7899999999999997E-2</v>
      </c>
      <c r="EV53" s="17" t="str">
        <f>IF(VLOOKUP(BM53,Fundamentus!A:U,21,FALSE)&lt;0,"Negativo",IF(VLOOKUP(BM53,Fundamentus!A:U,21,FALSE)&lt;0.05,"Fraco",IF(VLOOKUP(BM53,Fundamentus!A:U,21,FALSE)&lt;0.1,"Bom",IF(VLOOKUP(BM53,Fundamentus!A:U,21,FALSE)&gt;0.1,"Muito bom","n/a"))))</f>
        <v>Muito bom</v>
      </c>
      <c r="EX53" s="29" t="str">
        <f>IF(VLOOKUP(BM53,Fundamentus!A:U,15,FALSE)&gt;1,"Bom",IF(VLOOKUP(BM53,Fundamentus!A:U,15,FALSE)&lt;1,"Ruim","n/a"))</f>
        <v>Bom</v>
      </c>
      <c r="EY53" s="17" t="str">
        <f>IF(VLOOKUP(BM53,Fundamentus!A:U,20,FALSE)&lt;0.5,"Baixa",IF(VLOOKUP(BM53,Fundamentus!A:U,20,FALSE)&lt;1,"Moderada",IF(VLOOKUP(BM53,Fundamentus!A:U,20,FALSE)&lt;2,"Alerta",IF(VLOOKUP(BM53,Fundamentus!A:U,20,FALSE)&gt;2,"Alta","n/a"))))</f>
        <v>Alerta</v>
      </c>
    </row>
    <row r="54" spans="1:155" s="2" customFormat="1" ht="11.25" x14ac:dyDescent="0.2">
      <c r="A54" s="4">
        <v>14.83</v>
      </c>
      <c r="B54" s="4">
        <v>14.75</v>
      </c>
      <c r="C54" s="4">
        <v>14.56</v>
      </c>
      <c r="D54" s="4">
        <v>14.3</v>
      </c>
      <c r="E54" s="4">
        <v>14.05</v>
      </c>
      <c r="F54" s="4">
        <v>14.42</v>
      </c>
      <c r="G54" s="4">
        <v>14.2</v>
      </c>
      <c r="H54" s="4">
        <v>14.21</v>
      </c>
      <c r="I54" s="4">
        <v>14.99</v>
      </c>
      <c r="J54" s="4">
        <v>15.07</v>
      </c>
      <c r="K54" s="4">
        <v>15.58</v>
      </c>
      <c r="L54" s="4">
        <v>15.61</v>
      </c>
      <c r="M54" s="4">
        <v>15.32</v>
      </c>
      <c r="N54" s="4">
        <v>15.38</v>
      </c>
      <c r="O54" s="4">
        <v>15.85</v>
      </c>
      <c r="P54" s="4">
        <v>15.77</v>
      </c>
      <c r="Q54" s="4">
        <v>16</v>
      </c>
      <c r="R54" s="4">
        <v>15.95</v>
      </c>
      <c r="S54" s="4">
        <v>16.73</v>
      </c>
      <c r="T54" s="4">
        <v>16.670000000000002</v>
      </c>
      <c r="U54" s="4">
        <v>16.45</v>
      </c>
      <c r="V54" s="4">
        <v>15.59</v>
      </c>
      <c r="W54" s="4">
        <v>15.15</v>
      </c>
      <c r="X54" s="4">
        <v>14.81</v>
      </c>
      <c r="Y54" s="4">
        <v>14.95</v>
      </c>
      <c r="Z54" s="4">
        <v>15.03</v>
      </c>
      <c r="AA54" s="4">
        <v>14.24</v>
      </c>
      <c r="AB54" s="4">
        <v>13.59</v>
      </c>
      <c r="AC54" s="4">
        <v>13.77</v>
      </c>
      <c r="AD54" s="4">
        <v>13.58</v>
      </c>
      <c r="AE54" s="4">
        <v>13.18</v>
      </c>
      <c r="AF54" s="4">
        <v>13.09</v>
      </c>
      <c r="AG54" s="4">
        <v>13.13</v>
      </c>
      <c r="AH54" s="4">
        <v>12.37</v>
      </c>
      <c r="AI54" s="4">
        <v>12.24</v>
      </c>
      <c r="AJ54" s="4">
        <v>11.95</v>
      </c>
      <c r="AK54" s="4">
        <v>11.84</v>
      </c>
      <c r="AL54" s="4">
        <v>11.54</v>
      </c>
      <c r="AM54" s="4">
        <v>11.58</v>
      </c>
      <c r="AN54" s="4">
        <v>11.84</v>
      </c>
      <c r="AO54" s="4">
        <v>11.69</v>
      </c>
      <c r="AP54" s="4">
        <v>12.45</v>
      </c>
      <c r="AQ54" s="4">
        <v>11.74</v>
      </c>
      <c r="AR54" s="4">
        <v>11.09</v>
      </c>
      <c r="AS54" s="4">
        <v>11.06</v>
      </c>
      <c r="AT54" s="4">
        <v>11.55</v>
      </c>
      <c r="AU54" s="4">
        <v>11.914999999999999</v>
      </c>
      <c r="AV54" s="4">
        <v>11.75</v>
      </c>
      <c r="AW54" s="4">
        <v>11.7</v>
      </c>
      <c r="AX54" s="4">
        <v>12.02</v>
      </c>
      <c r="AY54" s="12">
        <v>12.29</v>
      </c>
      <c r="AZ54" s="12">
        <v>12.98</v>
      </c>
      <c r="BA54" s="12">
        <v>12.99</v>
      </c>
      <c r="BB54" s="15">
        <v>13.18</v>
      </c>
      <c r="BC54" s="52">
        <v>12.65</v>
      </c>
      <c r="BD54" s="52">
        <v>12.59</v>
      </c>
      <c r="BE54" s="52">
        <v>12.85</v>
      </c>
      <c r="BF54" s="52">
        <v>13.07</v>
      </c>
      <c r="BG54" s="67">
        <v>13.02</v>
      </c>
      <c r="BH54" s="52">
        <v>13.06</v>
      </c>
      <c r="BI54" s="52">
        <v>12.73</v>
      </c>
      <c r="BJ54" s="52">
        <v>13.02</v>
      </c>
      <c r="BK54" s="52">
        <v>12.62</v>
      </c>
      <c r="BL54" s="52" cm="1">
        <f t="array" aca="1" ref="BL54" ca="1">_FV(EC54,"Preço")</f>
        <v>12.62</v>
      </c>
      <c r="BM54" s="69" t="s">
        <v>51</v>
      </c>
      <c r="BN54" s="36" cm="1">
        <f t="array" aca="1" ref="BN54" ca="1">_FV(EC54,"Média de volume",TRUE)</f>
        <v>2338660</v>
      </c>
      <c r="BO54" s="36">
        <v>2965300</v>
      </c>
      <c r="BP54" s="36" cm="1">
        <f t="array" aca="1" ref="BP54" ca="1">_FV(EC54,"Volume")</f>
        <v>2965300</v>
      </c>
      <c r="BQ54" s="24" cm="1">
        <f t="array" aca="1" ref="BQ54" ca="1">_FV(EC54,"Beta")</f>
        <v>0.63529999999999998</v>
      </c>
      <c r="BR54" s="71" cm="1">
        <f t="array" aca="1" ref="BR54" ca="1">_FV(EC54,"Variação (%)",TRUE)</f>
        <v>-6.2989999999999999E-3</v>
      </c>
      <c r="BT54" s="17" cm="1">
        <f t="array" aca="1" ref="BT54" ca="1">_FV(EC54,"Baixo")</f>
        <v>12.48</v>
      </c>
      <c r="BU54" s="17" cm="1">
        <f t="array" aca="1" ref="BU54" ca="1">_FV(EC54,"Alto")</f>
        <v>12.74</v>
      </c>
      <c r="BV54" s="24"/>
      <c r="BW54" s="63">
        <f ca="1">SQRT(22.5*(BL54/VLOOKUP(BM54,Fundamentus!A:U,3,FALSE))*(BL54/VLOOKUP(BM54,Fundamentus!A:U,4,FALSE)))</f>
        <v>15.236430289977449</v>
      </c>
      <c r="BY54" s="62">
        <f t="shared" ca="1" si="24"/>
        <v>0</v>
      </c>
      <c r="BZ54" s="8"/>
      <c r="CA54" s="61">
        <f t="shared" si="25"/>
        <v>11.06</v>
      </c>
      <c r="CB54" s="61">
        <f t="shared" si="26"/>
        <v>16.73</v>
      </c>
      <c r="CC54" s="61">
        <f t="shared" si="27"/>
        <v>13.621825396825397</v>
      </c>
      <c r="CD54" s="14"/>
      <c r="CE54" s="35">
        <f t="shared" si="1"/>
        <v>12.451787257898987</v>
      </c>
      <c r="CF54" s="15">
        <f t="shared" si="28"/>
        <v>12.805999999999926</v>
      </c>
      <c r="CG54" s="35">
        <f t="shared" si="2"/>
        <v>13.160212742100866</v>
      </c>
      <c r="CI54" s="14"/>
      <c r="CJ54" s="17">
        <f t="shared" si="3"/>
        <v>4.8066666666666666</v>
      </c>
      <c r="CK54" s="17">
        <f t="shared" si="4"/>
        <v>7.9333333333333336</v>
      </c>
      <c r="CL54" s="17">
        <f t="shared" si="5"/>
        <v>10.476666666666667</v>
      </c>
      <c r="CM54" s="38">
        <f t="shared" si="29"/>
        <v>13.603333333333333</v>
      </c>
      <c r="CN54" s="17">
        <f t="shared" si="6"/>
        <v>16.146666666666668</v>
      </c>
      <c r="CO54" s="17">
        <f t="shared" si="7"/>
        <v>19.273333333333333</v>
      </c>
      <c r="CP54" s="17">
        <f t="shared" si="8"/>
        <v>21.816666666666666</v>
      </c>
      <c r="CQ54" s="2" cm="1">
        <f t="array" aca="1" ref="CQ54" ca="1">MAX(_xlfn._xlws.FILTER(CJ54:CP54,CJ54:CP54&lt;BL54))</f>
        <v>10.476666666666667</v>
      </c>
      <c r="CR54" s="2" cm="1">
        <f t="array" aca="1" ref="CR54" ca="1">MIN(_xlfn._xlws.FILTER($CJ54:$CP54,$CJ54:$CP54&gt;BL54))</f>
        <v>13.603333333333333</v>
      </c>
      <c r="CS54" s="16">
        <f t="shared" ca="1" si="80"/>
        <v>0.2984409799554566</v>
      </c>
      <c r="CT54" s="20">
        <f t="shared" ca="1" si="81"/>
        <v>-0.1492204899777283</v>
      </c>
      <c r="CU54" s="20">
        <f t="shared" ca="1" si="82"/>
        <v>-9.9480326651818871E-2</v>
      </c>
      <c r="CV54" s="20">
        <f t="shared" ca="1" si="83"/>
        <v>-5.968819599109132E-2</v>
      </c>
      <c r="CW54" s="20">
        <f t="shared" ca="1" si="84"/>
        <v>-3.3160108883939624E-2</v>
      </c>
      <c r="CX54" s="20">
        <f t="shared" ca="1" si="85"/>
        <v>-1.7555351762085683E-2</v>
      </c>
      <c r="CY54" s="20">
        <f t="shared" ca="1" si="86"/>
        <v>-9.0436660592562602E-3</v>
      </c>
      <c r="CZ54" s="20">
        <f t="shared" ca="1" si="87"/>
        <v>-4.591399691622409E-3</v>
      </c>
      <c r="DA54" s="21">
        <f t="shared" ca="1" si="88"/>
        <v>4.591399691622409E-3</v>
      </c>
      <c r="DB54" s="21">
        <f t="shared" ca="1" si="89"/>
        <v>9.0436660592562602E-3</v>
      </c>
      <c r="DC54" s="21">
        <f t="shared" ca="1" si="90"/>
        <v>1.7555351762085683E-2</v>
      </c>
      <c r="DD54" s="21">
        <f t="shared" ca="1" si="91"/>
        <v>3.3160108883939624E-2</v>
      </c>
      <c r="DE54" s="21">
        <f t="shared" ca="1" si="92"/>
        <v>5.968819599109132E-2</v>
      </c>
      <c r="DF54" s="21">
        <f t="shared" ca="1" si="93"/>
        <v>9.9480326651818871E-2</v>
      </c>
      <c r="DG54" s="21">
        <f t="shared" ca="1" si="94"/>
        <v>0.1492204899777283</v>
      </c>
      <c r="DI54" s="16" cm="1">
        <f t="array" aca="1" ref="DI54" ca="1">MAX(_xlfn._xlws.FILTER(CT54:DG54,CT54:DG54&lt;BR54))</f>
        <v>-9.0436660592562602E-3</v>
      </c>
      <c r="DJ54" s="16" cm="1">
        <f t="array" aca="1" ref="DJ54" ca="1">MIN(_xlfn._xlws.FILTER(CT54:DG54,CT54:DG54&gt;BR54))</f>
        <v>-4.591399691622409E-3</v>
      </c>
      <c r="DK54" s="2" cm="1">
        <f t="array" aca="1" ref="DK54" ca="1">_FV(EC54,"Fechamento anterior",TRUE)</f>
        <v>12.7</v>
      </c>
      <c r="DL54" s="28">
        <f t="shared" ca="1" si="15"/>
        <v>0.61641717593137157</v>
      </c>
      <c r="DM54" s="15">
        <f t="shared" ca="1" si="95"/>
        <v>12.585145441047445</v>
      </c>
      <c r="DN54" s="15">
        <f t="shared" ca="1" si="96"/>
        <v>12.641689223916394</v>
      </c>
      <c r="DO54" s="9"/>
      <c r="DP54" s="9"/>
      <c r="DQ54" s="9"/>
      <c r="DR54" s="89">
        <v>3.2220371164736403E-3</v>
      </c>
      <c r="DS54" s="89">
        <v>4.4522663676338512E-3</v>
      </c>
      <c r="DT54" s="89">
        <v>8.5116857028294229E-3</v>
      </c>
      <c r="DU54" s="89">
        <v>4.4522663676338512E-3</v>
      </c>
      <c r="DV54" s="89">
        <f t="shared" ca="1" si="18"/>
        <v>4.4522663676338512E-3</v>
      </c>
      <c r="DW54" s="72">
        <f t="shared" ca="1" si="19"/>
        <v>-0.52510815646186737</v>
      </c>
      <c r="DX54" s="37"/>
      <c r="DY54" s="35">
        <f t="shared" si="39"/>
        <v>0.17710637105046992</v>
      </c>
      <c r="DZ54" s="56"/>
      <c r="EA54" s="56"/>
      <c r="EC54" s="2" t="e" vm="54">
        <v>#VALUE!</v>
      </c>
      <c r="EE54" s="10" cm="1">
        <f t="array" aca="1" ref="EE54" ca="1">_FV(EC54,"Ações em circulação",TRUE)</f>
        <v>547191000</v>
      </c>
      <c r="EF54" s="18">
        <f>VLOOKUP(BM54,Fundamentus!A:U,5,FALSE)</f>
        <v>0.91400000000000003</v>
      </c>
      <c r="EG54" s="2">
        <f t="shared" ca="1" si="20"/>
        <v>7555306805.2516413</v>
      </c>
      <c r="EH54" s="17">
        <v>592336053.53172863</v>
      </c>
      <c r="EI54" s="17">
        <f t="shared" ca="1" si="21"/>
        <v>592336053.53172863</v>
      </c>
      <c r="EK54" s="16">
        <f t="shared" ca="1" si="22"/>
        <v>0</v>
      </c>
      <c r="EL54" s="32" t="str">
        <f>IF(VLOOKUP(BM54,Fundamentus!A:U,3,FALSE)&lt;15,"Bom",IF(VLOOKUP(BM54,Fundamentus!A:U,3,FALSE)&gt;15,"Ruim","n/a"))</f>
        <v>Bom</v>
      </c>
      <c r="EM54" s="28" t="str">
        <f>IF(VLOOKUP(BM54,Fundamentus!A:U,4,FALSE)&lt;1,"Baixo",IF(VLOOKUP(BM54,Fundamentus!A:U,4,FALSE)&lt;1.5,"Moderado",IF(VLOOKUP(BM54,Fundamentus!A:U,4,FALSE)&gt;1.5,"Alto","n/a")))</f>
        <v>Moderado</v>
      </c>
      <c r="EN54" s="17" t="str">
        <f>IF(VLOOKUP(BM54,Fundamentus!A:U,8,FALSE)&lt;0,"Risco elevado",IF(VLOOKUP(BM54,Fundamentus!A:U,8,FALSE)&lt;1,"Saudável",IF(VLOOKUP(BM54,Fundamentus!A:U,8,FALSE)&lt;3,"Estável",IF(VLOOKUP(BM54,Fundamentus!A:U,8,FALSE)&gt;3,"Alerta","n/a"))))</f>
        <v>Estável</v>
      </c>
      <c r="EO54" s="28" t="str">
        <f t="shared" si="23"/>
        <v>Ruim</v>
      </c>
      <c r="EP54" s="17" t="str">
        <f>IF(VLOOKUP(BM54,Fundamentus!A:U,12,FALSE)&lt;2,"Subvalorizada",IF(VLOOKUP(BM54,Fundamentus!A:U,12,FALSE)&lt;6,"Muita barata",IF(VLOOKUP(BM54,Fundamentus!A:U,12,FALSE)&lt;6,"Barata",IF(VLOOKUP(BM54,Fundamentus!A:U,12,FALSE)&lt;8,"Atrativa",IF(VLOOKUP(BM54,Fundamentus!A:U,12,FALSE)&gt;8,"Supervalorizada","n/a")))))</f>
        <v>Muita barata</v>
      </c>
      <c r="ER54" s="17" t="str">
        <f>IF(VLOOKUP(BM54,Fundamentus!A:U,17,FALSE)&lt;0.1,"Fraco retorno",IF(VLOOKUP(BM54,Fundamentus!A:U,17,FALSE)&gt;0.1,"Bom retorno","n/a"))</f>
        <v>Bom retorno</v>
      </c>
      <c r="ES54" s="17" t="str">
        <f>IF(VLOOKUP(BM54,Fundamentus!A:U,16,FALSE)&lt;0.1,"Ineficiente",IF(VLOOKUP(BM54,Fundamentus!A:U,16,FALSE)&gt;0.1,"Eficiente","n/a"))</f>
        <v>Eficiente</v>
      </c>
      <c r="ET54" s="33" t="str">
        <f>IF(VLOOKUP(BM54,Fundamentus!A:U,16,FALSE)&lt;0.1,"Oper. Ineficiente",IF(VLOOKUP(BM54,Fundamentus!A:U,16,FALSE)&gt;0.1,"Oper.Eficiente","n/a"))</f>
        <v>Oper.Eficiente</v>
      </c>
      <c r="EU54" s="34">
        <f>VLOOKUP(BM54,Fundamentus!A:U,14,FALSE)</f>
        <v>7.8399999999999997E-2</v>
      </c>
      <c r="EV54" s="17" t="str">
        <f>IF(VLOOKUP(BM54,Fundamentus!A:U,21,FALSE)&lt;0,"Negativo",IF(VLOOKUP(BM54,Fundamentus!A:U,21,FALSE)&lt;0.05,"Fraco",IF(VLOOKUP(BM54,Fundamentus!A:U,21,FALSE)&lt;0.1,"Bom",IF(VLOOKUP(BM54,Fundamentus!A:U,21,FALSE)&gt;0.1,"Muito bom","n/a"))))</f>
        <v>Muito bom</v>
      </c>
      <c r="EX54" s="29" t="str">
        <f>IF(VLOOKUP(BM54,Fundamentus!A:U,15,FALSE)&gt;1,"Bom",IF(VLOOKUP(BM54,Fundamentus!A:U,15,FALSE)&lt;1,"Ruim","n/a"))</f>
        <v>Bom</v>
      </c>
      <c r="EY54" s="17" t="str">
        <f>IF(VLOOKUP(BM54,Fundamentus!A:U,20,FALSE)&lt;0.5,"Baixa",IF(VLOOKUP(BM54,Fundamentus!A:U,20,FALSE)&lt;1,"Moderada",IF(VLOOKUP(BM54,Fundamentus!A:U,20,FALSE)&lt;2,"Alerta",IF(VLOOKUP(BM54,Fundamentus!A:U,20,FALSE)&gt;2,"Alta","n/a"))))</f>
        <v>Alerta</v>
      </c>
    </row>
    <row r="55" spans="1:155" s="2" customFormat="1" ht="11.25" x14ac:dyDescent="0.2">
      <c r="A55" s="4">
        <v>10.43</v>
      </c>
      <c r="B55" s="4">
        <v>10.6</v>
      </c>
      <c r="C55" s="4">
        <v>10.7</v>
      </c>
      <c r="D55" s="4">
        <v>10.5</v>
      </c>
      <c r="E55" s="4">
        <v>10.35</v>
      </c>
      <c r="F55" s="4">
        <v>10.11</v>
      </c>
      <c r="G55" s="4">
        <v>10.45</v>
      </c>
      <c r="H55" s="4">
        <v>10.1</v>
      </c>
      <c r="I55" s="4">
        <v>10.48</v>
      </c>
      <c r="J55" s="4">
        <v>11.09</v>
      </c>
      <c r="K55" s="4">
        <v>11</v>
      </c>
      <c r="L55" s="4">
        <v>10.89</v>
      </c>
      <c r="M55" s="4">
        <v>10.8</v>
      </c>
      <c r="N55" s="4">
        <v>10.48</v>
      </c>
      <c r="O55" s="4">
        <v>10.7</v>
      </c>
      <c r="P55" s="4">
        <v>10.85</v>
      </c>
      <c r="Q55" s="4">
        <v>11.28</v>
      </c>
      <c r="R55" s="4">
        <v>11</v>
      </c>
      <c r="S55" s="4">
        <v>10.91</v>
      </c>
      <c r="T55" s="4">
        <v>11.05</v>
      </c>
      <c r="U55" s="4">
        <v>11.2</v>
      </c>
      <c r="V55" s="4">
        <v>10.95</v>
      </c>
      <c r="W55" s="4">
        <v>11.02</v>
      </c>
      <c r="X55" s="4">
        <v>10.87</v>
      </c>
      <c r="Y55" s="4">
        <v>10.44</v>
      </c>
      <c r="Z55" s="4">
        <v>10.050000000000001</v>
      </c>
      <c r="AA55" s="4">
        <v>10</v>
      </c>
      <c r="AB55" s="4">
        <v>9.64</v>
      </c>
      <c r="AC55" s="4">
        <v>9.5399999999999991</v>
      </c>
      <c r="AD55" s="4">
        <v>9.6199999999999992</v>
      </c>
      <c r="AE55" s="4">
        <v>9.3000000000000007</v>
      </c>
      <c r="AF55" s="4">
        <v>9.02</v>
      </c>
      <c r="AG55" s="4">
        <v>9.0500000000000007</v>
      </c>
      <c r="AH55" s="4">
        <v>8.4700000000000006</v>
      </c>
      <c r="AI55" s="4">
        <v>8.32</v>
      </c>
      <c r="AJ55" s="4">
        <v>8.2200000000000006</v>
      </c>
      <c r="AK55" s="4">
        <v>8.7200000000000006</v>
      </c>
      <c r="AL55" s="4">
        <v>8.76</v>
      </c>
      <c r="AM55" s="4">
        <v>9.2100000000000009</v>
      </c>
      <c r="AN55" s="4">
        <v>9.42</v>
      </c>
      <c r="AO55" s="4">
        <v>9.19</v>
      </c>
      <c r="AP55" s="4">
        <v>9.5299999999999994</v>
      </c>
      <c r="AQ55" s="4">
        <v>9.36</v>
      </c>
      <c r="AR55" s="4">
        <v>9.2799999999999994</v>
      </c>
      <c r="AS55" s="4">
        <v>9.4700000000000006</v>
      </c>
      <c r="AT55" s="4">
        <v>9.67</v>
      </c>
      <c r="AU55" s="4">
        <v>9.3849999999999998</v>
      </c>
      <c r="AV55" s="4">
        <v>9.25</v>
      </c>
      <c r="AW55" s="4">
        <v>9.01</v>
      </c>
      <c r="AX55" s="4">
        <v>8.99</v>
      </c>
      <c r="AY55" s="12">
        <v>9.0299999999999994</v>
      </c>
      <c r="AZ55" s="12">
        <v>9.17</v>
      </c>
      <c r="BA55" s="12">
        <v>9.16</v>
      </c>
      <c r="BB55" s="15">
        <v>9.1199999999999992</v>
      </c>
      <c r="BC55" s="52">
        <v>9.58</v>
      </c>
      <c r="BD55" s="52">
        <v>9.27</v>
      </c>
      <c r="BE55" s="52">
        <v>9.2799999999999994</v>
      </c>
      <c r="BF55" s="52">
        <v>9.01</v>
      </c>
      <c r="BG55" s="67">
        <v>9.3800000000000008</v>
      </c>
      <c r="BH55" s="52">
        <v>8.93</v>
      </c>
      <c r="BI55" s="52">
        <v>8.9700000000000006</v>
      </c>
      <c r="BJ55" s="52">
        <v>8.91</v>
      </c>
      <c r="BK55" s="52">
        <v>8.9600000000000009</v>
      </c>
      <c r="BL55" s="52" cm="1">
        <f t="array" aca="1" ref="BL55" ca="1">_FV(EC55,"Preço")</f>
        <v>8.9600000000000009</v>
      </c>
      <c r="BM55" s="69" t="s">
        <v>52</v>
      </c>
      <c r="BN55" s="36" cm="1">
        <f t="array" aca="1" ref="BN55" ca="1">_FV(EC55,"Média de volume",TRUE)</f>
        <v>93130</v>
      </c>
      <c r="BO55" s="36">
        <v>41600</v>
      </c>
      <c r="BP55" s="36" cm="1">
        <f t="array" aca="1" ref="BP55" ca="1">_FV(EC55,"Volume")</f>
        <v>41600</v>
      </c>
      <c r="BQ55" s="24" cm="1">
        <f t="array" aca="1" ref="BQ55" ca="1">_FV(EC55,"Beta")</f>
        <v>0.61219999999999997</v>
      </c>
      <c r="BR55" s="71" cm="1">
        <f t="array" aca="1" ref="BR55" ca="1">_FV(EC55,"Variação (%)",TRUE)</f>
        <v>6.7420000000000006E-3</v>
      </c>
      <c r="BT55" s="17" cm="1">
        <f t="array" aca="1" ref="BT55" ca="1">_FV(EC55,"Baixo")</f>
        <v>8.8699999999999992</v>
      </c>
      <c r="BU55" s="17" cm="1">
        <f t="array" aca="1" ref="BU55" ca="1">_FV(EC55,"Alto")</f>
        <v>8.98</v>
      </c>
      <c r="BV55" s="24"/>
      <c r="BW55" s="63">
        <f ca="1">SQRT(22.5*(BL55/VLOOKUP(BM55,Fundamentus!A:U,3,FALSE))*(BL55/VLOOKUP(BM55,Fundamentus!A:U,4,FALSE)))</f>
        <v>17.438376349218117</v>
      </c>
      <c r="BY55" s="62">
        <f t="shared" ca="1" si="24"/>
        <v>0</v>
      </c>
      <c r="BZ55" s="8"/>
      <c r="CA55" s="61">
        <f t="shared" si="25"/>
        <v>8.2200000000000006</v>
      </c>
      <c r="CB55" s="61">
        <f t="shared" si="26"/>
        <v>11.28</v>
      </c>
      <c r="CC55" s="61">
        <f t="shared" si="27"/>
        <v>9.8015079365079352</v>
      </c>
      <c r="CD55" s="14"/>
      <c r="CE55" s="35">
        <f t="shared" si="1"/>
        <v>8.6217854407041425</v>
      </c>
      <c r="CF55" s="15">
        <f t="shared" si="28"/>
        <v>8.9439999999999991</v>
      </c>
      <c r="CG55" s="35">
        <f t="shared" si="2"/>
        <v>9.2662145592958556</v>
      </c>
      <c r="CI55" s="14"/>
      <c r="CJ55" s="17">
        <f t="shared" si="3"/>
        <v>4.6000000000000032</v>
      </c>
      <c r="CK55" s="17">
        <f t="shared" si="4"/>
        <v>6.4100000000000019</v>
      </c>
      <c r="CL55" s="17">
        <f t="shared" si="5"/>
        <v>7.6600000000000019</v>
      </c>
      <c r="CM55" s="38">
        <f t="shared" si="29"/>
        <v>9.4700000000000006</v>
      </c>
      <c r="CN55" s="17">
        <f t="shared" si="6"/>
        <v>10.72</v>
      </c>
      <c r="CO55" s="17">
        <f t="shared" si="7"/>
        <v>12.53</v>
      </c>
      <c r="CP55" s="17">
        <f t="shared" si="8"/>
        <v>13.78</v>
      </c>
      <c r="CQ55" s="2" cm="1">
        <f t="array" aca="1" ref="CQ55" ca="1">MAX(_xlfn._xlws.FILTER(CJ55:CP55,CJ55:CP55&lt;BL55))</f>
        <v>7.6600000000000019</v>
      </c>
      <c r="CR55" s="2" cm="1">
        <f t="array" aca="1" ref="CR55" ca="1">MIN(_xlfn._xlws.FILTER($CJ55:$CP55,$CJ55:$CP55&gt;BL55))</f>
        <v>9.4700000000000006</v>
      </c>
      <c r="CS55" s="16">
        <f t="shared" ca="1" si="80"/>
        <v>0.2362924281984331</v>
      </c>
      <c r="CT55" s="20">
        <f t="shared" ca="1" si="81"/>
        <v>-0.11814621409921655</v>
      </c>
      <c r="CU55" s="20">
        <f t="shared" ca="1" si="82"/>
        <v>-7.8764142732811029E-2</v>
      </c>
      <c r="CV55" s="20">
        <f t="shared" ca="1" si="83"/>
        <v>-4.7258485639686619E-2</v>
      </c>
      <c r="CW55" s="20">
        <f t="shared" ca="1" si="84"/>
        <v>-2.6254714244270345E-2</v>
      </c>
      <c r="CX55" s="20">
        <f t="shared" ca="1" si="85"/>
        <v>-1.389955459990783E-2</v>
      </c>
      <c r="CY55" s="20">
        <f t="shared" ca="1" si="86"/>
        <v>-7.1603766120737307E-3</v>
      </c>
      <c r="CZ55" s="20">
        <f t="shared" ca="1" si="87"/>
        <v>-3.63526812612974E-3</v>
      </c>
      <c r="DA55" s="21">
        <f t="shared" ca="1" si="88"/>
        <v>3.63526812612974E-3</v>
      </c>
      <c r="DB55" s="21">
        <f t="shared" ca="1" si="89"/>
        <v>7.1603766120737307E-3</v>
      </c>
      <c r="DC55" s="21">
        <f t="shared" ca="1" si="90"/>
        <v>1.389955459990783E-2</v>
      </c>
      <c r="DD55" s="21">
        <f t="shared" ca="1" si="91"/>
        <v>2.6254714244270345E-2</v>
      </c>
      <c r="DE55" s="21">
        <f t="shared" ca="1" si="92"/>
        <v>4.7258485639686619E-2</v>
      </c>
      <c r="DF55" s="21">
        <f t="shared" ca="1" si="93"/>
        <v>7.8764142732811029E-2</v>
      </c>
      <c r="DG55" s="21">
        <f t="shared" ca="1" si="94"/>
        <v>0.11814621409921655</v>
      </c>
      <c r="DI55" s="16" cm="1">
        <f t="array" aca="1" ref="DI55" ca="1">MAX(_xlfn._xlws.FILTER(CT55:DG55,CT55:DG55&lt;BR55))</f>
        <v>3.63526812612974E-3</v>
      </c>
      <c r="DJ55" s="16" cm="1">
        <f t="array" aca="1" ref="DJ55" ca="1">MIN(_xlfn._xlws.FILTER(CT55:DG55,CT55:DG55&gt;BR55))</f>
        <v>7.1603766120737307E-3</v>
      </c>
      <c r="DK55" s="2" cm="1">
        <f t="array" aca="1" ref="DK55" ca="1">_FV(EC55,"Fechamento anterior",TRUE)</f>
        <v>8.9</v>
      </c>
      <c r="DL55" s="28">
        <f t="shared" ca="1" si="15"/>
        <v>0.88119413061023499</v>
      </c>
      <c r="DM55" s="15">
        <f t="shared" ca="1" si="95"/>
        <v>8.9323538863225558</v>
      </c>
      <c r="DN55" s="15">
        <f t="shared" ca="1" si="96"/>
        <v>8.9637273518474565</v>
      </c>
      <c r="DO55" s="9"/>
      <c r="DP55" s="9"/>
      <c r="DQ55" s="9"/>
      <c r="DR55" s="89">
        <v>7.8572038602784094E-3</v>
      </c>
      <c r="DS55" s="89">
        <v>1.0842241021269149E-2</v>
      </c>
      <c r="DT55" s="89">
        <v>7.27053625225948E-3</v>
      </c>
      <c r="DU55" s="89">
        <v>3.5251084859439907E-3</v>
      </c>
      <c r="DV55" s="89">
        <f t="shared" ca="1" si="18"/>
        <v>3.5251084859439907E-3</v>
      </c>
      <c r="DW55" s="72">
        <f t="shared" ca="1" si="19"/>
        <v>4.9656353316147442E-2</v>
      </c>
      <c r="DX55" s="37"/>
      <c r="DY55" s="35">
        <f t="shared" si="39"/>
        <v>0.16110727964792784</v>
      </c>
      <c r="DZ55" s="56"/>
      <c r="EA55" s="56"/>
      <c r="EC55" s="2" t="e" vm="55">
        <v>#VALUE!</v>
      </c>
      <c r="EE55" s="10" cm="1">
        <f t="array" aca="1" ref="EE55" ca="1">_FV(EC55,"Ações em circulação",TRUE)</f>
        <v>93170750</v>
      </c>
      <c r="EF55" s="18">
        <f>VLOOKUP(BM55,Fundamentus!A:U,5,FALSE)</f>
        <v>0.68</v>
      </c>
      <c r="EG55" s="2">
        <f t="shared" ca="1" si="20"/>
        <v>1227661647.0588236</v>
      </c>
      <c r="EH55" s="17">
        <v>102386981.36470589</v>
      </c>
      <c r="EI55" s="17">
        <f t="shared" ca="1" si="21"/>
        <v>102386981.36470589</v>
      </c>
      <c r="EK55" s="16">
        <f t="shared" ca="1" si="22"/>
        <v>0</v>
      </c>
      <c r="EL55" s="32" t="str">
        <f>IF(VLOOKUP(BM55,Fundamentus!A:U,3,FALSE)&lt;15,"Bom",IF(VLOOKUP(BM55,Fundamentus!A:U,3,FALSE)&gt;15,"Ruim","n/a"))</f>
        <v>Bom</v>
      </c>
      <c r="EM55" s="28" t="str">
        <f>IF(VLOOKUP(BM55,Fundamentus!A:U,4,FALSE)&lt;1,"Baixo",IF(VLOOKUP(BM55,Fundamentus!A:U,4,FALSE)&lt;1.5,"Moderado",IF(VLOOKUP(BM55,Fundamentus!A:U,4,FALSE)&gt;1.5,"Alto","n/a")))</f>
        <v>Baixo</v>
      </c>
      <c r="EN55" s="17" t="str">
        <f>IF(VLOOKUP(BM55,Fundamentus!A:U,8,FALSE)&lt;0,"Risco elevado",IF(VLOOKUP(BM55,Fundamentus!A:U,8,FALSE)&lt;1,"Saudável",IF(VLOOKUP(BM55,Fundamentus!A:U,8,FALSE)&lt;3,"Estável",IF(VLOOKUP(BM55,Fundamentus!A:U,8,FALSE)&gt;3,"Alerta","n/a"))))</f>
        <v>Estável</v>
      </c>
      <c r="EO55" s="28" t="str">
        <f t="shared" si="23"/>
        <v>Ruim</v>
      </c>
      <c r="EP55" s="17" t="str">
        <f>IF(VLOOKUP(BM55,Fundamentus!A:U,12,FALSE)&lt;2,"Subvalorizada",IF(VLOOKUP(BM55,Fundamentus!A:U,12,FALSE)&lt;6,"Muita barata",IF(VLOOKUP(BM55,Fundamentus!A:U,12,FALSE)&lt;6,"Barata",IF(VLOOKUP(BM55,Fundamentus!A:U,12,FALSE)&lt;8,"Atrativa",IF(VLOOKUP(BM55,Fundamentus!A:U,12,FALSE)&gt;8,"Supervalorizada","n/a")))))</f>
        <v>Supervalorizada</v>
      </c>
      <c r="ER55" s="17" t="str">
        <f>IF(VLOOKUP(BM55,Fundamentus!A:U,17,FALSE)&lt;0.1,"Fraco retorno",IF(VLOOKUP(BM55,Fundamentus!A:U,17,FALSE)&gt;0.1,"Bom retorno","n/a"))</f>
        <v>Fraco retorno</v>
      </c>
      <c r="ES55" s="17" t="str">
        <f>IF(VLOOKUP(BM55,Fundamentus!A:U,16,FALSE)&lt;0.1,"Ineficiente",IF(VLOOKUP(BM55,Fundamentus!A:U,16,FALSE)&gt;0.1,"Eficiente","n/a"))</f>
        <v>Ineficiente</v>
      </c>
      <c r="ET55" s="33" t="str">
        <f>IF(VLOOKUP(BM55,Fundamentus!A:U,16,FALSE)&lt;0.1,"Oper. Ineficiente",IF(VLOOKUP(BM55,Fundamentus!A:U,16,FALSE)&gt;0.1,"Oper.Eficiente","n/a"))</f>
        <v>Oper. Ineficiente</v>
      </c>
      <c r="EU55" s="34">
        <f>VLOOKUP(BM55,Fundamentus!A:U,14,FALSE)</f>
        <v>8.3400000000000002E-2</v>
      </c>
      <c r="EV55" s="17" t="str">
        <f>IF(VLOOKUP(BM55,Fundamentus!A:U,21,FALSE)&lt;0,"Negativo",IF(VLOOKUP(BM55,Fundamentus!A:U,21,FALSE)&lt;0.05,"Fraco",IF(VLOOKUP(BM55,Fundamentus!A:U,21,FALSE)&lt;0.1,"Bom",IF(VLOOKUP(BM55,Fundamentus!A:U,21,FALSE)&gt;0.1,"Muito bom","n/a"))))</f>
        <v>Fraco</v>
      </c>
      <c r="EX55" s="29" t="str">
        <f>IF(VLOOKUP(BM55,Fundamentus!A:U,15,FALSE)&gt;1,"Bom",IF(VLOOKUP(BM55,Fundamentus!A:U,15,FALSE)&lt;1,"Ruim","n/a"))</f>
        <v>Bom</v>
      </c>
      <c r="EY55" s="17" t="str">
        <f>IF(VLOOKUP(BM55,Fundamentus!A:U,20,FALSE)&lt;0.5,"Baixa",IF(VLOOKUP(BM55,Fundamentus!A:U,20,FALSE)&lt;1,"Moderada",IF(VLOOKUP(BM55,Fundamentus!A:U,20,FALSE)&lt;2,"Alerta",IF(VLOOKUP(BM55,Fundamentus!A:U,20,FALSE)&gt;2,"Alta","n/a"))))</f>
        <v>Moderada</v>
      </c>
    </row>
    <row r="56" spans="1:155" s="2" customFormat="1" ht="11.25" x14ac:dyDescent="0.2">
      <c r="A56" s="4">
        <v>12.27</v>
      </c>
      <c r="B56" s="4">
        <v>11.75</v>
      </c>
      <c r="C56" s="4">
        <v>11.7</v>
      </c>
      <c r="D56" s="4">
        <v>11.8</v>
      </c>
      <c r="E56" s="4">
        <v>11.5</v>
      </c>
      <c r="F56" s="4">
        <v>11.29</v>
      </c>
      <c r="G56" s="4">
        <v>11.19</v>
      </c>
      <c r="H56" s="4">
        <v>11.33</v>
      </c>
      <c r="I56" s="4">
        <v>11.45</v>
      </c>
      <c r="J56" s="4">
        <v>11.64</v>
      </c>
      <c r="K56" s="4">
        <v>11.83</v>
      </c>
      <c r="L56" s="4">
        <v>11.47</v>
      </c>
      <c r="M56" s="4">
        <v>11.33</v>
      </c>
      <c r="N56" s="4">
        <v>11.61</v>
      </c>
      <c r="O56" s="4">
        <v>11.82</v>
      </c>
      <c r="P56" s="4">
        <v>11.61</v>
      </c>
      <c r="Q56" s="4">
        <v>12.01</v>
      </c>
      <c r="R56" s="4">
        <v>11.88</v>
      </c>
      <c r="S56" s="4">
        <v>11.88</v>
      </c>
      <c r="T56" s="4">
        <v>11.82</v>
      </c>
      <c r="U56" s="4">
        <v>11.51</v>
      </c>
      <c r="V56" s="4">
        <v>11.44</v>
      </c>
      <c r="W56" s="4">
        <v>11.47</v>
      </c>
      <c r="X56" s="4">
        <v>11.52</v>
      </c>
      <c r="Y56" s="4">
        <v>11.47</v>
      </c>
      <c r="Z56" s="4">
        <v>11.48</v>
      </c>
      <c r="AA56" s="4">
        <v>11.52</v>
      </c>
      <c r="AB56" s="4">
        <v>11.74</v>
      </c>
      <c r="AC56" s="4">
        <v>11.33</v>
      </c>
      <c r="AD56" s="4">
        <v>11.45</v>
      </c>
      <c r="AE56" s="4">
        <v>11.38</v>
      </c>
      <c r="AF56" s="4">
        <v>11.46</v>
      </c>
      <c r="AG56" s="4">
        <v>11.31</v>
      </c>
      <c r="AH56" s="4">
        <v>10.99</v>
      </c>
      <c r="AI56" s="4">
        <v>11.06</v>
      </c>
      <c r="AJ56" s="4">
        <v>10.9</v>
      </c>
      <c r="AK56" s="4">
        <v>10.97</v>
      </c>
      <c r="AL56" s="4">
        <v>11.02</v>
      </c>
      <c r="AM56" s="4">
        <v>10.77</v>
      </c>
      <c r="AN56" s="4">
        <v>11.28</v>
      </c>
      <c r="AO56" s="4">
        <v>11.08</v>
      </c>
      <c r="AP56" s="4">
        <v>11.11</v>
      </c>
      <c r="AQ56" s="4">
        <v>11</v>
      </c>
      <c r="AR56" s="4">
        <v>10.97</v>
      </c>
      <c r="AS56" s="4">
        <v>11.1</v>
      </c>
      <c r="AT56" s="4">
        <v>11.35</v>
      </c>
      <c r="AU56" s="4">
        <v>11.57</v>
      </c>
      <c r="AV56" s="4">
        <v>11.37</v>
      </c>
      <c r="AW56" s="4">
        <v>11.4</v>
      </c>
      <c r="AX56" s="4">
        <v>11.4</v>
      </c>
      <c r="AY56" s="12">
        <v>11.5</v>
      </c>
      <c r="AZ56" s="12">
        <v>11.94</v>
      </c>
      <c r="BA56" s="12">
        <v>11.96</v>
      </c>
      <c r="BB56" s="15">
        <v>11.93</v>
      </c>
      <c r="BC56" s="52">
        <v>11.84</v>
      </c>
      <c r="BD56" s="52">
        <v>11.85</v>
      </c>
      <c r="BE56" s="52">
        <v>11.81</v>
      </c>
      <c r="BF56" s="52">
        <v>11.5</v>
      </c>
      <c r="BG56" s="67">
        <v>11.36</v>
      </c>
      <c r="BH56" s="52">
        <v>11.48</v>
      </c>
      <c r="BI56" s="52">
        <v>11.54</v>
      </c>
      <c r="BJ56" s="52">
        <v>11.75</v>
      </c>
      <c r="BK56" s="52">
        <v>11.36</v>
      </c>
      <c r="BL56" s="52" cm="1">
        <f t="array" aca="1" ref="BL56" ca="1">_FV(EC56,"Preço")</f>
        <v>11.36</v>
      </c>
      <c r="BM56" s="69" t="s">
        <v>53</v>
      </c>
      <c r="BN56" s="36" cm="1">
        <f t="array" aca="1" ref="BN56" ca="1">_FV(EC56,"Média de volume",TRUE)</f>
        <v>1181520</v>
      </c>
      <c r="BO56" s="36">
        <v>143700</v>
      </c>
      <c r="BP56" s="36" cm="1">
        <f t="array" aca="1" ref="BP56" ca="1">_FV(EC56,"Volume")</f>
        <v>143700</v>
      </c>
      <c r="BQ56" s="24" cm="1">
        <f t="array" aca="1" ref="BQ56" ca="1">_FV(EC56,"Beta")</f>
        <v>0.70609999999999995</v>
      </c>
      <c r="BR56" s="71" cm="1">
        <f t="array" aca="1" ref="BR56" ca="1">_FV(EC56,"Variação (%)",TRUE)</f>
        <v>-6.9930000000000001E-3</v>
      </c>
      <c r="BT56" s="17" cm="1">
        <f t="array" aca="1" ref="BT56" ca="1">_FV(EC56,"Baixo")</f>
        <v>11.31</v>
      </c>
      <c r="BU56" s="17" cm="1">
        <f t="array" aca="1" ref="BU56" ca="1">_FV(EC56,"Alto")</f>
        <v>11.44</v>
      </c>
      <c r="BV56" s="24"/>
      <c r="BW56" s="63">
        <f ca="1">SQRT(22.5*(BL56/VLOOKUP(BM56,Fundamentus!A:U,3,FALSE))*(BL56/VLOOKUP(BM56,Fundamentus!A:U,4,FALSE)))</f>
        <v>16.085711058333416</v>
      </c>
      <c r="BY56" s="62">
        <f t="shared" ca="1" si="24"/>
        <v>0</v>
      </c>
      <c r="BZ56" s="8"/>
      <c r="CA56" s="61">
        <f t="shared" si="25"/>
        <v>10.77</v>
      </c>
      <c r="CB56" s="61">
        <f t="shared" si="26"/>
        <v>12.27</v>
      </c>
      <c r="CC56" s="61">
        <f t="shared" si="27"/>
        <v>11.482857142857144</v>
      </c>
      <c r="CD56" s="14"/>
      <c r="CE56" s="35">
        <f t="shared" si="1"/>
        <v>11.262088946177192</v>
      </c>
      <c r="CF56" s="15">
        <f t="shared" si="28"/>
        <v>11.525000000000006</v>
      </c>
      <c r="CG56" s="35">
        <f t="shared" si="2"/>
        <v>11.787911053822819</v>
      </c>
      <c r="CI56" s="14"/>
      <c r="CJ56" s="17">
        <f t="shared" si="3"/>
        <v>9.423333333333332</v>
      </c>
      <c r="CK56" s="17">
        <f t="shared" si="4"/>
        <v>10.096666666666666</v>
      </c>
      <c r="CL56" s="17">
        <f t="shared" si="5"/>
        <v>10.923333333333332</v>
      </c>
      <c r="CM56" s="38">
        <f t="shared" si="29"/>
        <v>11.596666666666666</v>
      </c>
      <c r="CN56" s="17">
        <f t="shared" si="6"/>
        <v>12.423333333333332</v>
      </c>
      <c r="CO56" s="17">
        <f t="shared" si="7"/>
        <v>13.096666666666666</v>
      </c>
      <c r="CP56" s="17">
        <f t="shared" si="8"/>
        <v>13.923333333333332</v>
      </c>
      <c r="CQ56" s="2" cm="1">
        <f t="array" aca="1" ref="CQ56" ca="1">MAX(_xlfn._xlws.FILTER(CJ56:CP56,CJ56:CP56&lt;BL56))</f>
        <v>10.923333333333332</v>
      </c>
      <c r="CR56" s="2" cm="1">
        <f t="array" aca="1" ref="CR56" ca="1">MIN(_xlfn._xlws.FILTER($CJ56:$CP56,$CJ56:$CP56&gt;BL56))</f>
        <v>11.596666666666666</v>
      </c>
      <c r="CS56" s="16">
        <f t="shared" ca="1" si="80"/>
        <v>6.1641745498931977E-2</v>
      </c>
      <c r="CT56" s="20">
        <f t="shared" ca="1" si="81"/>
        <v>-3.0820872749465988E-2</v>
      </c>
      <c r="CU56" s="20">
        <f t="shared" ca="1" si="82"/>
        <v>-2.0547248499643993E-2</v>
      </c>
      <c r="CV56" s="20">
        <f t="shared" ca="1" si="83"/>
        <v>-1.2328349099786395E-2</v>
      </c>
      <c r="CW56" s="20">
        <f t="shared" ca="1" si="84"/>
        <v>-6.8490828332146642E-3</v>
      </c>
      <c r="CX56" s="20">
        <f t="shared" ca="1" si="85"/>
        <v>-3.6259850293489399E-3</v>
      </c>
      <c r="CY56" s="20">
        <f t="shared" ca="1" si="86"/>
        <v>-1.8679316817858174E-3</v>
      </c>
      <c r="CZ56" s="20">
        <f t="shared" ca="1" si="87"/>
        <v>-9.4833454613741503E-4</v>
      </c>
      <c r="DA56" s="21">
        <f t="shared" ca="1" si="88"/>
        <v>9.4833454613741503E-4</v>
      </c>
      <c r="DB56" s="21">
        <f t="shared" ca="1" si="89"/>
        <v>1.8679316817858174E-3</v>
      </c>
      <c r="DC56" s="21">
        <f t="shared" ca="1" si="90"/>
        <v>3.6259850293489399E-3</v>
      </c>
      <c r="DD56" s="21">
        <f t="shared" ca="1" si="91"/>
        <v>6.8490828332146642E-3</v>
      </c>
      <c r="DE56" s="21">
        <f t="shared" ca="1" si="92"/>
        <v>1.2328349099786395E-2</v>
      </c>
      <c r="DF56" s="21">
        <f t="shared" ca="1" si="93"/>
        <v>2.0547248499643993E-2</v>
      </c>
      <c r="DG56" s="21">
        <f t="shared" ca="1" si="94"/>
        <v>3.0820872749465988E-2</v>
      </c>
      <c r="DI56" s="16" cm="1">
        <f t="array" aca="1" ref="DI56" ca="1">MAX(_xlfn._xlws.FILTER(CT56:DG56,CT56:DG56&lt;BR56))</f>
        <v>-1.2328349099786395E-2</v>
      </c>
      <c r="DJ56" s="16" cm="1">
        <f t="array" aca="1" ref="DJ56" ca="1">MIN(_xlfn._xlws.FILTER(CT56:DG56,CT56:DG56&gt;BR56))</f>
        <v>-6.8490828332146642E-3</v>
      </c>
      <c r="DK56" s="2" cm="1">
        <f t="array" aca="1" ref="DK56" ca="1">_FV(EC56,"Fechamento anterior",TRUE)</f>
        <v>11.44</v>
      </c>
      <c r="DL56" s="28">
        <f t="shared" ca="1" si="15"/>
        <v>0.9737329502180937</v>
      </c>
      <c r="DM56" s="15">
        <f t="shared" ca="1" si="95"/>
        <v>11.298963686298443</v>
      </c>
      <c r="DN56" s="15">
        <f t="shared" ca="1" si="96"/>
        <v>11.361646492388024</v>
      </c>
      <c r="DO56" s="9"/>
      <c r="DP56" s="9"/>
      <c r="DQ56" s="9"/>
      <c r="DR56" s="89">
        <v>1.2653282656936236E-3</v>
      </c>
      <c r="DS56" s="89">
        <v>2.3180320773318586E-3</v>
      </c>
      <c r="DT56" s="89">
        <v>6.336431286129476E-3</v>
      </c>
      <c r="DU56" s="89">
        <v>5.4792662665717308E-3</v>
      </c>
      <c r="DV56" s="89">
        <f t="shared" ca="1" si="18"/>
        <v>5.4792662665717308E-3</v>
      </c>
      <c r="DW56" s="72">
        <f t="shared" ca="1" si="19"/>
        <v>-0.62758867533658891</v>
      </c>
      <c r="DX56" s="37"/>
      <c r="DY56" s="35">
        <f t="shared" si="39"/>
        <v>0.1314555269114068</v>
      </c>
      <c r="DZ56" s="56"/>
      <c r="EA56" s="56"/>
      <c r="EC56" s="2" t="e" vm="56">
        <v>#VALUE!</v>
      </c>
      <c r="EE56" s="10" cm="1">
        <f t="array" aca="1" ref="EE56" ca="1">_FV(EC56,"Ações em circulação",TRUE)</f>
        <v>344498900</v>
      </c>
      <c r="EF56" s="18">
        <f>VLOOKUP(BM56,Fundamentus!A:U,5,FALSE)</f>
        <v>2.9580000000000002</v>
      </c>
      <c r="EG56" s="2">
        <f t="shared" ca="1" si="20"/>
        <v>1323024849.2224476</v>
      </c>
      <c r="EH56" s="17">
        <v>561624048.49492896</v>
      </c>
      <c r="EI56" s="17">
        <f t="shared" ca="1" si="21"/>
        <v>561624048.49492896</v>
      </c>
      <c r="EK56" s="16">
        <f t="shared" ca="1" si="22"/>
        <v>0</v>
      </c>
      <c r="EL56" s="32" t="str">
        <f>IF(VLOOKUP(BM56,Fundamentus!A:U,3,FALSE)&lt;15,"Bom",IF(VLOOKUP(BM56,Fundamentus!A:U,3,FALSE)&gt;15,"Ruim","n/a"))</f>
        <v>Bom</v>
      </c>
      <c r="EM56" s="28" t="str">
        <f>IF(VLOOKUP(BM56,Fundamentus!A:U,4,FALSE)&lt;1,"Baixo",IF(VLOOKUP(BM56,Fundamentus!A:U,4,FALSE)&lt;1.5,"Moderado",IF(VLOOKUP(BM56,Fundamentus!A:U,4,FALSE)&gt;1.5,"Alto","n/a")))</f>
        <v>Alto</v>
      </c>
      <c r="EN56" s="17" t="str">
        <f>IF(VLOOKUP(BM56,Fundamentus!A:U,8,FALSE)&lt;0,"Risco elevado",IF(VLOOKUP(BM56,Fundamentus!A:U,8,FALSE)&lt;1,"Saudável",IF(VLOOKUP(BM56,Fundamentus!A:U,8,FALSE)&lt;3,"Estável",IF(VLOOKUP(BM56,Fundamentus!A:U,8,FALSE)&gt;3,"Alerta","n/a"))))</f>
        <v>Alerta</v>
      </c>
      <c r="EO56" s="28" t="str">
        <f t="shared" si="23"/>
        <v>Bom</v>
      </c>
      <c r="EP56" s="17" t="str">
        <f>IF(VLOOKUP(BM56,Fundamentus!A:U,12,FALSE)&lt;2,"Subvalorizada",IF(VLOOKUP(BM56,Fundamentus!A:U,12,FALSE)&lt;6,"Muita barata",IF(VLOOKUP(BM56,Fundamentus!A:U,12,FALSE)&lt;6,"Barata",IF(VLOOKUP(BM56,Fundamentus!A:U,12,FALSE)&lt;8,"Atrativa",IF(VLOOKUP(BM56,Fundamentus!A:U,12,FALSE)&gt;8,"Supervalorizada","n/a")))))</f>
        <v>Supervalorizada</v>
      </c>
      <c r="ER56" s="17" t="str">
        <f>IF(VLOOKUP(BM56,Fundamentus!A:U,17,FALSE)&lt;0.1,"Fraco retorno",IF(VLOOKUP(BM56,Fundamentus!A:U,17,FALSE)&gt;0.1,"Bom retorno","n/a"))</f>
        <v>Bom retorno</v>
      </c>
      <c r="ES56" s="17" t="str">
        <f>IF(VLOOKUP(BM56,Fundamentus!A:U,16,FALSE)&lt;0.1,"Ineficiente",IF(VLOOKUP(BM56,Fundamentus!A:U,16,FALSE)&gt;0.1,"Eficiente","n/a"))</f>
        <v>Eficiente</v>
      </c>
      <c r="ET56" s="33" t="str">
        <f>IF(VLOOKUP(BM56,Fundamentus!A:U,16,FALSE)&lt;0.1,"Oper. Ineficiente",IF(VLOOKUP(BM56,Fundamentus!A:U,16,FALSE)&gt;0.1,"Oper.Eficiente","n/a"))</f>
        <v>Oper.Eficiente</v>
      </c>
      <c r="EU56" s="34">
        <f>VLOOKUP(BM56,Fundamentus!A:U,14,FALSE)</f>
        <v>0.42449999999999999</v>
      </c>
      <c r="EV56" s="17" t="str">
        <f>IF(VLOOKUP(BM56,Fundamentus!A:U,21,FALSE)&lt;0,"Negativo",IF(VLOOKUP(BM56,Fundamentus!A:U,21,FALSE)&lt;0.05,"Fraco",IF(VLOOKUP(BM56,Fundamentus!A:U,21,FALSE)&lt;0.1,"Bom",IF(VLOOKUP(BM56,Fundamentus!A:U,21,FALSE)&gt;0.1,"Muito bom","n/a"))))</f>
        <v>Fraco</v>
      </c>
      <c r="EX56" s="29" t="str">
        <f>IF(VLOOKUP(BM56,Fundamentus!A:U,15,FALSE)&gt;1,"Bom",IF(VLOOKUP(BM56,Fundamentus!A:U,15,FALSE)&lt;1,"Ruim","n/a"))</f>
        <v>Bom</v>
      </c>
      <c r="EY56" s="17" t="str">
        <f>IF(VLOOKUP(BM56,Fundamentus!A:U,20,FALSE)&lt;0.5,"Baixa",IF(VLOOKUP(BM56,Fundamentus!A:U,20,FALSE)&lt;1,"Moderada",IF(VLOOKUP(BM56,Fundamentus!A:U,20,FALSE)&lt;2,"Alerta",IF(VLOOKUP(BM56,Fundamentus!A:U,20,FALSE)&gt;2,"Alta","n/a"))))</f>
        <v>Alerta</v>
      </c>
    </row>
    <row r="57" spans="1:155" s="2" customFormat="1" ht="11.25" x14ac:dyDescent="0.2">
      <c r="A57" s="4">
        <v>21</v>
      </c>
      <c r="B57" s="4">
        <v>20.46</v>
      </c>
      <c r="C57" s="4">
        <v>20.74</v>
      </c>
      <c r="D57" s="4">
        <v>20.32</v>
      </c>
      <c r="E57" s="4">
        <v>19.649999999999999</v>
      </c>
      <c r="F57" s="4">
        <v>19.8</v>
      </c>
      <c r="G57" s="4">
        <v>19.77</v>
      </c>
      <c r="H57" s="4">
        <v>20.05</v>
      </c>
      <c r="I57" s="4">
        <v>20.6</v>
      </c>
      <c r="J57" s="4">
        <v>21.5</v>
      </c>
      <c r="K57" s="4">
        <v>22.78</v>
      </c>
      <c r="L57" s="4">
        <v>22.56</v>
      </c>
      <c r="M57" s="4">
        <v>22.58</v>
      </c>
      <c r="N57" s="4">
        <v>23.41</v>
      </c>
      <c r="O57" s="4">
        <v>23.58</v>
      </c>
      <c r="P57" s="4">
        <v>23.2</v>
      </c>
      <c r="Q57" s="4">
        <v>23.61</v>
      </c>
      <c r="R57" s="4">
        <v>21.85</v>
      </c>
      <c r="S57" s="4">
        <v>21.6</v>
      </c>
      <c r="T57" s="4">
        <v>21.16</v>
      </c>
      <c r="U57" s="4">
        <v>19.920000000000002</v>
      </c>
      <c r="V57" s="4">
        <v>20.07</v>
      </c>
      <c r="W57" s="4">
        <v>19.95</v>
      </c>
      <c r="X57" s="4">
        <v>19.13</v>
      </c>
      <c r="Y57" s="4">
        <v>18.760000000000002</v>
      </c>
      <c r="Z57" s="4">
        <v>19.22</v>
      </c>
      <c r="AA57" s="4">
        <v>19.45</v>
      </c>
      <c r="AB57" s="4">
        <v>19.45</v>
      </c>
      <c r="AC57" s="4">
        <v>20.11</v>
      </c>
      <c r="AD57" s="4">
        <v>20.16</v>
      </c>
      <c r="AE57" s="4">
        <v>19.45</v>
      </c>
      <c r="AF57" s="4">
        <v>19.2</v>
      </c>
      <c r="AG57" s="4">
        <v>19.010000000000002</v>
      </c>
      <c r="AH57" s="4">
        <v>18.190000000000001</v>
      </c>
      <c r="AI57" s="4">
        <v>17.850000000000001</v>
      </c>
      <c r="AJ57" s="4">
        <v>17.59</v>
      </c>
      <c r="AK57" s="4">
        <v>17.21</v>
      </c>
      <c r="AL57" s="4">
        <v>17.07</v>
      </c>
      <c r="AM57" s="4">
        <v>16.7</v>
      </c>
      <c r="AN57" s="4">
        <v>18.399999999999999</v>
      </c>
      <c r="AO57" s="4">
        <v>18.45</v>
      </c>
      <c r="AP57" s="4">
        <v>19.73</v>
      </c>
      <c r="AQ57" s="4">
        <v>18.07</v>
      </c>
      <c r="AR57" s="4">
        <v>16.93</v>
      </c>
      <c r="AS57" s="4">
        <v>17.87</v>
      </c>
      <c r="AT57" s="4">
        <v>18</v>
      </c>
      <c r="AU57" s="4">
        <v>17.995000000000001</v>
      </c>
      <c r="AV57" s="4">
        <v>16.98</v>
      </c>
      <c r="AW57" s="4">
        <v>17.07</v>
      </c>
      <c r="AX57" s="4">
        <v>17.77</v>
      </c>
      <c r="AY57" s="12">
        <v>18.88</v>
      </c>
      <c r="AZ57" s="12">
        <v>19.68</v>
      </c>
      <c r="BA57" s="12">
        <v>19.399999999999999</v>
      </c>
      <c r="BB57" s="15">
        <v>19.21</v>
      </c>
      <c r="BC57" s="52">
        <v>17.89</v>
      </c>
      <c r="BD57" s="52">
        <v>18.059999999999999</v>
      </c>
      <c r="BE57" s="52">
        <v>18.82</v>
      </c>
      <c r="BF57" s="52">
        <v>19.079999999999998</v>
      </c>
      <c r="BG57" s="67">
        <v>19.13</v>
      </c>
      <c r="BH57" s="52">
        <v>17.97</v>
      </c>
      <c r="BI57" s="52">
        <v>17.96</v>
      </c>
      <c r="BJ57" s="52">
        <v>18.579999999999998</v>
      </c>
      <c r="BK57" s="52">
        <v>17.12</v>
      </c>
      <c r="BL57" s="52" cm="1">
        <f t="array" aca="1" ref="BL57" ca="1">_FV(EC57,"Preço")</f>
        <v>17.12</v>
      </c>
      <c r="BM57" s="69" t="s">
        <v>54</v>
      </c>
      <c r="BN57" s="36" cm="1">
        <f t="array" aca="1" ref="BN57" ca="1">_FV(EC57,"Média de volume",TRUE)</f>
        <v>8592020</v>
      </c>
      <c r="BO57" s="36">
        <v>9341200</v>
      </c>
      <c r="BP57" s="36" cm="1">
        <f t="array" aca="1" ref="BP57" ca="1">_FV(EC57,"Volume")</f>
        <v>9341200</v>
      </c>
      <c r="BQ57" s="24" cm="1">
        <f t="array" aca="1" ref="BQ57" ca="1">_FV(EC57,"Beta")</f>
        <v>0.78210000000000002</v>
      </c>
      <c r="BR57" s="71" cm="1">
        <f t="array" aca="1" ref="BR57" ca="1">_FV(EC57,"Variação (%)",TRUE)</f>
        <v>-3.4920000000000003E-3</v>
      </c>
      <c r="BT57" s="17" cm="1">
        <f t="array" aca="1" ref="BT57" ca="1">_FV(EC57,"Baixo")</f>
        <v>16.87</v>
      </c>
      <c r="BU57" s="17" cm="1">
        <f t="array" aca="1" ref="BU57" ca="1">_FV(EC57,"Alto")</f>
        <v>17.190000000000001</v>
      </c>
      <c r="BV57" s="24"/>
      <c r="BW57" s="63" t="e">
        <f ca="1">SQRT(22.5*(BL57/VLOOKUP(BM57,Fundamentus!A:U,3,FALSE))*(BL57/VLOOKUP(BM57,Fundamentus!A:U,4,FALSE)))</f>
        <v>#NUM!</v>
      </c>
      <c r="BY57" s="62">
        <f t="shared" ca="1" si="24"/>
        <v>0</v>
      </c>
      <c r="BZ57" s="8"/>
      <c r="CA57" s="61">
        <f t="shared" si="25"/>
        <v>16.7</v>
      </c>
      <c r="CB57" s="61">
        <f t="shared" si="26"/>
        <v>23.61</v>
      </c>
      <c r="CC57" s="61">
        <f t="shared" si="27"/>
        <v>19.488174603174613</v>
      </c>
      <c r="CD57" s="14"/>
      <c r="CE57" s="35">
        <f t="shared" si="1"/>
        <v>16.398594644272013</v>
      </c>
      <c r="CF57" s="15">
        <f t="shared" si="28"/>
        <v>17.810999999999922</v>
      </c>
      <c r="CG57" s="35">
        <f t="shared" si="2"/>
        <v>19.223405355727831</v>
      </c>
      <c r="CI57" s="14"/>
      <c r="CJ57" s="17">
        <f t="shared" si="3"/>
        <v>8.7399999999999984</v>
      </c>
      <c r="CK57" s="17">
        <f t="shared" si="4"/>
        <v>12.719999999999999</v>
      </c>
      <c r="CL57" s="17">
        <f t="shared" si="5"/>
        <v>15.649999999999999</v>
      </c>
      <c r="CM57" s="38">
        <f t="shared" si="29"/>
        <v>19.63</v>
      </c>
      <c r="CN57" s="17">
        <f t="shared" si="6"/>
        <v>22.56</v>
      </c>
      <c r="CO57" s="17">
        <f t="shared" si="7"/>
        <v>26.54</v>
      </c>
      <c r="CP57" s="17">
        <f t="shared" si="8"/>
        <v>29.47</v>
      </c>
      <c r="CQ57" s="2" cm="1">
        <f t="array" aca="1" ref="CQ57" ca="1">MAX(_xlfn._xlws.FILTER(CJ57:CP57,CJ57:CP57&lt;BL57))</f>
        <v>15.649999999999999</v>
      </c>
      <c r="CR57" s="2" cm="1">
        <f t="array" aca="1" ref="CR57" ca="1">MIN(_xlfn._xlws.FILTER($CJ57:$CP57,$CJ57:$CP57&gt;BL57))</f>
        <v>19.63</v>
      </c>
      <c r="CS57" s="16">
        <f t="shared" ca="1" si="80"/>
        <v>0.25431309904153365</v>
      </c>
      <c r="CT57" s="20">
        <f t="shared" ca="1" si="81"/>
        <v>-0.12715654952076683</v>
      </c>
      <c r="CU57" s="20">
        <f t="shared" ca="1" si="82"/>
        <v>-8.4771033013844546E-2</v>
      </c>
      <c r="CV57" s="20">
        <f t="shared" ca="1" si="83"/>
        <v>-5.0862619808306732E-2</v>
      </c>
      <c r="CW57" s="20">
        <f t="shared" ca="1" si="84"/>
        <v>-2.8257011004614849E-2</v>
      </c>
      <c r="CX57" s="20">
        <f t="shared" ca="1" si="85"/>
        <v>-1.4959594061266686E-2</v>
      </c>
      <c r="CY57" s="20">
        <f t="shared" ca="1" si="86"/>
        <v>-7.7064575467131408E-3</v>
      </c>
      <c r="CZ57" s="20">
        <f t="shared" ca="1" si="87"/>
        <v>-3.9125092160235946E-3</v>
      </c>
      <c r="DA57" s="21">
        <f t="shared" ca="1" si="88"/>
        <v>3.9125092160235946E-3</v>
      </c>
      <c r="DB57" s="21">
        <f t="shared" ca="1" si="89"/>
        <v>7.7064575467131408E-3</v>
      </c>
      <c r="DC57" s="21">
        <f t="shared" ca="1" si="90"/>
        <v>1.4959594061266686E-2</v>
      </c>
      <c r="DD57" s="21">
        <f t="shared" ca="1" si="91"/>
        <v>2.8257011004614849E-2</v>
      </c>
      <c r="DE57" s="21">
        <f t="shared" ca="1" si="92"/>
        <v>5.0862619808306732E-2</v>
      </c>
      <c r="DF57" s="21">
        <f t="shared" ca="1" si="93"/>
        <v>8.4771033013844546E-2</v>
      </c>
      <c r="DG57" s="21">
        <f t="shared" ca="1" si="94"/>
        <v>0.12715654952076683</v>
      </c>
      <c r="DI57" s="16" cm="1">
        <f t="array" aca="1" ref="DI57" ca="1">MAX(_xlfn._xlws.FILTER(CT57:DG57,CT57:DG57&lt;BR57))</f>
        <v>-3.9125092160235946E-3</v>
      </c>
      <c r="DJ57" s="16" cm="1">
        <f t="array" aca="1" ref="DJ57" ca="1">MIN(_xlfn._xlws.FILTER(CT57:DG57,CT57:DG57&gt;BR57))</f>
        <v>3.9125092160235946E-3</v>
      </c>
      <c r="DK57" s="2" cm="1">
        <f t="array" aca="1" ref="DK57" ca="1">_FV(EC57,"Fechamento anterior",TRUE)</f>
        <v>17.18</v>
      </c>
      <c r="DL57" s="28">
        <f t="shared" ca="1" si="15"/>
        <v>5.3683727133936758E-2</v>
      </c>
      <c r="DM57" s="15">
        <f t="shared" ca="1" si="95"/>
        <v>17.112783091668714</v>
      </c>
      <c r="DN57" s="15">
        <f t="shared" ca="1" si="96"/>
        <v>17.247216908331286</v>
      </c>
      <c r="DO57" s="9"/>
      <c r="DP57" s="9"/>
      <c r="DQ57" s="9"/>
      <c r="DR57" s="89">
        <v>5.2426173298928654E-3</v>
      </c>
      <c r="DS57" s="89">
        <v>3.5363318609936733E-3</v>
      </c>
      <c r="DT57" s="89">
        <v>7.8250184320471892E-3</v>
      </c>
      <c r="DU57" s="89">
        <v>7.8250184320471892E-3</v>
      </c>
      <c r="DV57" s="89">
        <f t="shared" ca="1" si="18"/>
        <v>7.8250184320471892E-3</v>
      </c>
      <c r="DW57" s="72">
        <f t="shared" ca="1" si="19"/>
        <v>-0.48923632100205489</v>
      </c>
      <c r="DX57" s="37"/>
      <c r="DY57" s="35">
        <f t="shared" si="39"/>
        <v>0.70620267786395496</v>
      </c>
      <c r="DZ57" s="56"/>
      <c r="EA57" s="56"/>
      <c r="EC57" s="2" t="e" vm="57">
        <v>#VALUE!</v>
      </c>
      <c r="EE57" s="10" cm="1">
        <f t="array" aca="1" ref="EE57" ca="1">_FV(EC57,"Ações em circulação",TRUE)</f>
        <v>1854869000</v>
      </c>
      <c r="EF57" s="18">
        <f>VLOOKUP(BM57,Fundamentus!A:U,5,FALSE)</f>
        <v>2.5790000000000002</v>
      </c>
      <c r="EG57" s="2">
        <f t="shared" ca="1" si="20"/>
        <v>12313050515.70376</v>
      </c>
      <c r="EH57" s="17">
        <v>-1265781593.0143466</v>
      </c>
      <c r="EI57" s="17">
        <f t="shared" ca="1" si="21"/>
        <v>-1265781593.0143466</v>
      </c>
      <c r="EK57" s="16">
        <f t="shared" ca="1" si="22"/>
        <v>0</v>
      </c>
      <c r="EL57" s="32" t="str">
        <f>IF(VLOOKUP(BM57,Fundamentus!A:U,3,FALSE)&lt;15,"Bom",IF(VLOOKUP(BM57,Fundamentus!A:U,3,FALSE)&gt;15,"Ruim","n/a"))</f>
        <v>Bom</v>
      </c>
      <c r="EM57" s="28" t="str">
        <f>IF(VLOOKUP(BM57,Fundamentus!A:U,4,FALSE)&lt;1,"Baixo",IF(VLOOKUP(BM57,Fundamentus!A:U,4,FALSE)&lt;1.5,"Moderado",IF(VLOOKUP(BM57,Fundamentus!A:U,4,FALSE)&gt;1.5,"Alto","n/a")))</f>
        <v>Alto</v>
      </c>
      <c r="EN57" s="17" t="str">
        <f>IF(VLOOKUP(BM57,Fundamentus!A:U,8,FALSE)&lt;0,"Risco elevado",IF(VLOOKUP(BM57,Fundamentus!A:U,8,FALSE)&lt;1,"Saudável",IF(VLOOKUP(BM57,Fundamentus!A:U,8,FALSE)&lt;3,"Estável",IF(VLOOKUP(BM57,Fundamentus!A:U,8,FALSE)&gt;3,"Alerta","n/a"))))</f>
        <v>Alerta</v>
      </c>
      <c r="EO57" s="28" t="str">
        <f t="shared" si="23"/>
        <v>Bom</v>
      </c>
      <c r="EP57" s="17" t="str">
        <f>IF(VLOOKUP(BM57,Fundamentus!A:U,12,FALSE)&lt;2,"Subvalorizada",IF(VLOOKUP(BM57,Fundamentus!A:U,12,FALSE)&lt;6,"Muita barata",IF(VLOOKUP(BM57,Fundamentus!A:U,12,FALSE)&lt;6,"Barata",IF(VLOOKUP(BM57,Fundamentus!A:U,12,FALSE)&lt;8,"Atrativa",IF(VLOOKUP(BM57,Fundamentus!A:U,12,FALSE)&gt;8,"Supervalorizada","n/a")))))</f>
        <v>Muita barata</v>
      </c>
      <c r="ER57" s="17" t="str">
        <f>IF(VLOOKUP(BM57,Fundamentus!A:U,17,FALSE)&lt;0.1,"Fraco retorno",IF(VLOOKUP(BM57,Fundamentus!A:U,17,FALSE)&gt;0.1,"Bom retorno","n/a"))</f>
        <v>Fraco retorno</v>
      </c>
      <c r="ES57" s="17" t="str">
        <f>IF(VLOOKUP(BM57,Fundamentus!A:U,16,FALSE)&lt;0.1,"Ineficiente",IF(VLOOKUP(BM57,Fundamentus!A:U,16,FALSE)&gt;0.1,"Eficiente","n/a"))</f>
        <v>Eficiente</v>
      </c>
      <c r="ET57" s="33" t="str">
        <f>IF(VLOOKUP(BM57,Fundamentus!A:U,16,FALSE)&lt;0.1,"Oper. Ineficiente",IF(VLOOKUP(BM57,Fundamentus!A:U,16,FALSE)&gt;0.1,"Oper.Eficiente","n/a"))</f>
        <v>Oper.Eficiente</v>
      </c>
      <c r="EU57" s="34">
        <f>VLOOKUP(BM57,Fundamentus!A:U,14,FALSE)</f>
        <v>-0.1028</v>
      </c>
      <c r="EV57" s="17" t="str">
        <f>IF(VLOOKUP(BM57,Fundamentus!A:U,21,FALSE)&lt;0,"Negativo",IF(VLOOKUP(BM57,Fundamentus!A:U,21,FALSE)&lt;0.05,"Fraco",IF(VLOOKUP(BM57,Fundamentus!A:U,21,FALSE)&lt;0.1,"Bom",IF(VLOOKUP(BM57,Fundamentus!A:U,21,FALSE)&gt;0.1,"Muito bom","n/a"))))</f>
        <v>Muito bom</v>
      </c>
      <c r="EX57" s="29" t="str">
        <f>IF(VLOOKUP(BM57,Fundamentus!A:U,15,FALSE)&gt;1,"Bom",IF(VLOOKUP(BM57,Fundamentus!A:U,15,FALSE)&lt;1,"Ruim","n/a"))</f>
        <v>Bom</v>
      </c>
      <c r="EY57" s="17" t="str">
        <f>IF(VLOOKUP(BM57,Fundamentus!A:U,20,FALSE)&lt;0.5,"Baixa",IF(VLOOKUP(BM57,Fundamentus!A:U,20,FALSE)&lt;1,"Moderada",IF(VLOOKUP(BM57,Fundamentus!A:U,20,FALSE)&lt;2,"Alerta",IF(VLOOKUP(BM57,Fundamentus!A:U,20,FALSE)&gt;2,"Alta","n/a"))))</f>
        <v>Alerta</v>
      </c>
    </row>
    <row r="58" spans="1:155" s="2" customFormat="1" ht="11.25" x14ac:dyDescent="0.2">
      <c r="A58" s="4">
        <v>21.81</v>
      </c>
      <c r="B58" s="4">
        <v>21.32</v>
      </c>
      <c r="C58" s="4">
        <v>20.62</v>
      </c>
      <c r="D58" s="4">
        <v>19.559999999999999</v>
      </c>
      <c r="E58" s="4">
        <v>19.11</v>
      </c>
      <c r="F58" s="4">
        <v>19.57</v>
      </c>
      <c r="G58" s="4">
        <v>19.04</v>
      </c>
      <c r="H58" s="4">
        <v>18.98</v>
      </c>
      <c r="I58" s="4">
        <v>18.82</v>
      </c>
      <c r="J58" s="4">
        <v>19.989999999999998</v>
      </c>
      <c r="K58" s="4">
        <v>20.28</v>
      </c>
      <c r="L58" s="4">
        <v>19.989999999999998</v>
      </c>
      <c r="M58" s="4">
        <v>19.66</v>
      </c>
      <c r="N58" s="4">
        <v>19.96</v>
      </c>
      <c r="O58" s="4">
        <v>21.77</v>
      </c>
      <c r="P58" s="4">
        <v>21.32</v>
      </c>
      <c r="Q58" s="4">
        <v>22.57</v>
      </c>
      <c r="R58" s="4">
        <v>21.82</v>
      </c>
      <c r="S58" s="4">
        <v>21.55</v>
      </c>
      <c r="T58" s="4">
        <v>22.28</v>
      </c>
      <c r="U58" s="4">
        <v>20.73</v>
      </c>
      <c r="V58" s="4">
        <v>20.7</v>
      </c>
      <c r="W58" s="4">
        <v>21.24</v>
      </c>
      <c r="X58" s="4">
        <v>21.4</v>
      </c>
      <c r="Y58" s="4">
        <v>21.2</v>
      </c>
      <c r="Z58" s="4">
        <v>21.15</v>
      </c>
      <c r="AA58" s="4">
        <v>21.3</v>
      </c>
      <c r="AB58" s="4">
        <v>21.57</v>
      </c>
      <c r="AC58" s="4">
        <v>21.2</v>
      </c>
      <c r="AD58" s="4">
        <v>21.09</v>
      </c>
      <c r="AE58" s="4">
        <v>18.399999999999999</v>
      </c>
      <c r="AF58" s="4">
        <v>18.54</v>
      </c>
      <c r="AG58" s="4">
        <v>18.05</v>
      </c>
      <c r="AH58" s="4">
        <v>17.32</v>
      </c>
      <c r="AI58" s="4">
        <v>17.12</v>
      </c>
      <c r="AJ58" s="4">
        <v>16.43</v>
      </c>
      <c r="AK58" s="4">
        <v>16.510000000000002</v>
      </c>
      <c r="AL58" s="4">
        <v>17.87</v>
      </c>
      <c r="AM58" s="4">
        <v>18.7</v>
      </c>
      <c r="AN58" s="4">
        <v>20.43</v>
      </c>
      <c r="AO58" s="4">
        <v>20.48</v>
      </c>
      <c r="AP58" s="4">
        <v>21.83</v>
      </c>
      <c r="AQ58" s="4">
        <v>22.46</v>
      </c>
      <c r="AR58" s="4">
        <v>20.75</v>
      </c>
      <c r="AS58" s="4">
        <v>21.75</v>
      </c>
      <c r="AT58" s="4">
        <v>23.02</v>
      </c>
      <c r="AU58" s="4">
        <v>23.844999999999999</v>
      </c>
      <c r="AV58" s="4">
        <v>24.3</v>
      </c>
      <c r="AW58" s="4">
        <v>24.42</v>
      </c>
      <c r="AX58" s="4">
        <v>24.92</v>
      </c>
      <c r="AY58" s="12">
        <v>25.64</v>
      </c>
      <c r="AZ58" s="12">
        <v>25.53</v>
      </c>
      <c r="BA58" s="12">
        <v>24.79</v>
      </c>
      <c r="BB58" s="15">
        <v>26</v>
      </c>
      <c r="BC58" s="52">
        <v>25.46</v>
      </c>
      <c r="BD58" s="52">
        <v>24.97</v>
      </c>
      <c r="BE58" s="52">
        <v>24.97</v>
      </c>
      <c r="BF58" s="52">
        <v>25.2</v>
      </c>
      <c r="BG58" s="67">
        <v>24.4</v>
      </c>
      <c r="BH58" s="52">
        <v>25.26</v>
      </c>
      <c r="BI58" s="52">
        <v>25.62</v>
      </c>
      <c r="BJ58" s="52">
        <v>26.01</v>
      </c>
      <c r="BK58" s="52">
        <v>25.6</v>
      </c>
      <c r="BL58" s="52" cm="1">
        <f t="array" aca="1" ref="BL58" ca="1">_FV(EC58,"Preço")</f>
        <v>25.6</v>
      </c>
      <c r="BM58" s="69" t="s">
        <v>55</v>
      </c>
      <c r="BN58" s="36" cm="1">
        <f t="array" aca="1" ref="BN58" ca="1">_FV(EC58,"Média de volume",TRUE)</f>
        <v>4315780</v>
      </c>
      <c r="BO58" s="36">
        <v>6465100</v>
      </c>
      <c r="BP58" s="36" cm="1">
        <f t="array" aca="1" ref="BP58" ca="1">_FV(EC58,"Volume")</f>
        <v>6465100</v>
      </c>
      <c r="BQ58" s="24" cm="1">
        <f t="array" aca="1" ref="BQ58" ca="1">_FV(EC58,"Beta")</f>
        <v>1.6572</v>
      </c>
      <c r="BR58" s="71" cm="1">
        <f t="array" aca="1" ref="BR58" ca="1">_FV(EC58,"Variação (%)",TRUE)</f>
        <v>8.2709999999999988E-3</v>
      </c>
      <c r="BT58" s="17" cm="1">
        <f t="array" aca="1" ref="BT58" ca="1">_FV(EC58,"Baixo")</f>
        <v>25.31</v>
      </c>
      <c r="BU58" s="17" cm="1">
        <f t="array" aca="1" ref="BU58" ca="1">_FV(EC58,"Alto")</f>
        <v>26.01</v>
      </c>
      <c r="BV58" s="24"/>
      <c r="BW58" s="63">
        <f ca="1">SQRT(22.5*(BL58/VLOOKUP(BM58,Fundamentus!A:U,3,FALSE))*(BL58/VLOOKUP(BM58,Fundamentus!A:U,4,FALSE)))</f>
        <v>51.872949787996724</v>
      </c>
      <c r="BY58" s="62">
        <f t="shared" ca="1" si="24"/>
        <v>0</v>
      </c>
      <c r="BZ58" s="8"/>
      <c r="CA58" s="61">
        <f t="shared" si="25"/>
        <v>16.43</v>
      </c>
      <c r="CB58" s="61">
        <f t="shared" si="26"/>
        <v>26.01</v>
      </c>
      <c r="CC58" s="61">
        <f t="shared" si="27"/>
        <v>21.558650793650791</v>
      </c>
      <c r="CD58" s="14"/>
      <c r="CE58" s="35">
        <f t="shared" si="1"/>
        <v>24.691639813942039</v>
      </c>
      <c r="CF58" s="15">
        <f t="shared" si="28"/>
        <v>25.693000000000097</v>
      </c>
      <c r="CG58" s="35">
        <f t="shared" si="2"/>
        <v>26.694360186058155</v>
      </c>
      <c r="CI58" s="14"/>
      <c r="CJ58" s="17">
        <f t="shared" si="3"/>
        <v>10.043333333333329</v>
      </c>
      <c r="CK58" s="17">
        <f t="shared" si="4"/>
        <v>13.236666666666665</v>
      </c>
      <c r="CL58" s="17">
        <f t="shared" si="5"/>
        <v>19.623333333333331</v>
      </c>
      <c r="CM58" s="38">
        <f t="shared" si="29"/>
        <v>22.816666666666666</v>
      </c>
      <c r="CN58" s="17">
        <f t="shared" si="6"/>
        <v>29.203333333333333</v>
      </c>
      <c r="CO58" s="17">
        <f t="shared" si="7"/>
        <v>32.396666666666668</v>
      </c>
      <c r="CP58" s="17">
        <f t="shared" si="8"/>
        <v>38.783333333333331</v>
      </c>
      <c r="CQ58" s="2" cm="1">
        <f t="array" aca="1" ref="CQ58" ca="1">MAX(_xlfn._xlws.FILTER(CJ58:CP58,CJ58:CP58&lt;BL58))</f>
        <v>22.816666666666666</v>
      </c>
      <c r="CR58" s="2" cm="1">
        <f t="array" aca="1" ref="CR58" ca="1">MIN(_xlfn._xlws.FILTER($CJ58:$CP58,$CJ58:$CP58&gt;BL58))</f>
        <v>29.203333333333333</v>
      </c>
      <c r="CS58" s="16">
        <f t="shared" ca="1" si="80"/>
        <v>0.27991234477720961</v>
      </c>
      <c r="CT58" s="20">
        <f t="shared" ca="1" si="81"/>
        <v>-0.1399561723886048</v>
      </c>
      <c r="CU58" s="20">
        <f t="shared" ca="1" si="82"/>
        <v>-9.3304114925736537E-2</v>
      </c>
      <c r="CV58" s="20">
        <f t="shared" ca="1" si="83"/>
        <v>-5.5982468955441921E-2</v>
      </c>
      <c r="CW58" s="20">
        <f t="shared" ca="1" si="84"/>
        <v>-3.1101371641912179E-2</v>
      </c>
      <c r="CX58" s="20">
        <f t="shared" ca="1" si="85"/>
        <v>-1.6465432045718213E-2</v>
      </c>
      <c r="CY58" s="20">
        <f t="shared" ca="1" si="86"/>
        <v>-8.482192265976048E-3</v>
      </c>
      <c r="CZ58" s="20">
        <f t="shared" ca="1" si="87"/>
        <v>-4.3063437658032245E-3</v>
      </c>
      <c r="DA58" s="21">
        <f t="shared" ca="1" si="88"/>
        <v>4.3063437658032245E-3</v>
      </c>
      <c r="DB58" s="21">
        <f t="shared" ca="1" si="89"/>
        <v>8.482192265976048E-3</v>
      </c>
      <c r="DC58" s="21">
        <f t="shared" ca="1" si="90"/>
        <v>1.6465432045718213E-2</v>
      </c>
      <c r="DD58" s="21">
        <f t="shared" ca="1" si="91"/>
        <v>3.1101371641912179E-2</v>
      </c>
      <c r="DE58" s="21">
        <f t="shared" ca="1" si="92"/>
        <v>5.5982468955441921E-2</v>
      </c>
      <c r="DF58" s="21">
        <f t="shared" ca="1" si="93"/>
        <v>9.3304114925736537E-2</v>
      </c>
      <c r="DG58" s="21">
        <f t="shared" ca="1" si="94"/>
        <v>0.1399561723886048</v>
      </c>
      <c r="DI58" s="16" cm="1">
        <f t="array" aca="1" ref="DI58" ca="1">MAX(_xlfn._xlws.FILTER(CT58:DG58,CT58:DG58&lt;BR58))</f>
        <v>4.3063437658032245E-3</v>
      </c>
      <c r="DJ58" s="16" cm="1">
        <f t="array" aca="1" ref="DJ58" ca="1">MIN(_xlfn._xlws.FILTER(CT58:DG58,CT58:DG58&gt;BR58))</f>
        <v>8.482192265976048E-3</v>
      </c>
      <c r="DK58" s="2" cm="1">
        <f t="array" aca="1" ref="DK58" ca="1">_FV(EC58,"Fechamento anterior",TRUE)</f>
        <v>25.39</v>
      </c>
      <c r="DL58" s="28">
        <f t="shared" ca="1" si="15"/>
        <v>0.94941879667788787</v>
      </c>
      <c r="DM58" s="15">
        <f t="shared" ca="1" si="95"/>
        <v>25.499338068213746</v>
      </c>
      <c r="DN58" s="15">
        <f t="shared" ca="1" si="96"/>
        <v>25.605362861633132</v>
      </c>
      <c r="DO58" s="9"/>
      <c r="DP58" s="9"/>
      <c r="DQ58" s="9"/>
      <c r="DR58" s="89">
        <v>6.6373203872288188E-3</v>
      </c>
      <c r="DS58" s="89">
        <v>1.3723240805125478E-2</v>
      </c>
      <c r="DT58" s="89">
        <v>8.6126875316064489E-3</v>
      </c>
      <c r="DU58" s="89">
        <v>4.1758485001728235E-3</v>
      </c>
      <c r="DV58" s="89">
        <f t="shared" ca="1" si="18"/>
        <v>4.1758485001728235E-3</v>
      </c>
      <c r="DW58" s="72">
        <f t="shared" ca="1" si="19"/>
        <v>-9.2873674522849309E-2</v>
      </c>
      <c r="DX58" s="37"/>
      <c r="DY58" s="35">
        <f t="shared" si="39"/>
        <v>0.50068009302902838</v>
      </c>
      <c r="DZ58" s="56"/>
      <c r="EA58" s="56"/>
      <c r="EC58" s="2" t="e" vm="58">
        <v>#VALUE!</v>
      </c>
      <c r="EE58" s="10" cm="1">
        <f t="array" aca="1" ref="EE58" ca="1">_FV(EC58,"Ações em circulação",TRUE)</f>
        <v>384000000</v>
      </c>
      <c r="EF58" s="18">
        <f>VLOOKUP(BM58,Fundamentus!A:U,5,FALSE)</f>
        <v>1.123</v>
      </c>
      <c r="EG58" s="2">
        <f t="shared" ca="1" si="20"/>
        <v>8753695458.5930538</v>
      </c>
      <c r="EH58" s="17">
        <v>1527519857.5244877</v>
      </c>
      <c r="EI58" s="17">
        <f t="shared" ca="1" si="21"/>
        <v>1527519857.5244877</v>
      </c>
      <c r="EK58" s="16">
        <f t="shared" ca="1" si="22"/>
        <v>0</v>
      </c>
      <c r="EL58" s="32" t="str">
        <f>IF(VLOOKUP(BM58,Fundamentus!A:U,3,FALSE)&lt;15,"Bom",IF(VLOOKUP(BM58,Fundamentus!A:U,3,FALSE)&gt;15,"Ruim","n/a"))</f>
        <v>Bom</v>
      </c>
      <c r="EM58" s="28" t="str">
        <f>IF(VLOOKUP(BM58,Fundamentus!A:U,4,FALSE)&lt;1,"Baixo",IF(VLOOKUP(BM58,Fundamentus!A:U,4,FALSE)&lt;1.5,"Moderado",IF(VLOOKUP(BM58,Fundamentus!A:U,4,FALSE)&gt;1.5,"Alto","n/a")))</f>
        <v>Moderado</v>
      </c>
      <c r="EN58" s="17" t="str">
        <f>IF(VLOOKUP(BM58,Fundamentus!A:U,8,FALSE)&lt;0,"Risco elevado",IF(VLOOKUP(BM58,Fundamentus!A:U,8,FALSE)&lt;1,"Saudável",IF(VLOOKUP(BM58,Fundamentus!A:U,8,FALSE)&lt;3,"Estável",IF(VLOOKUP(BM58,Fundamentus!A:U,8,FALSE)&gt;3,"Alerta","n/a"))))</f>
        <v>Estável</v>
      </c>
      <c r="EO58" s="28" t="str">
        <f t="shared" si="23"/>
        <v>Bom</v>
      </c>
      <c r="EP58" s="17" t="str">
        <f>IF(VLOOKUP(BM58,Fundamentus!A:U,12,FALSE)&lt;2,"Subvalorizada",IF(VLOOKUP(BM58,Fundamentus!A:U,12,FALSE)&lt;6,"Muita barata",IF(VLOOKUP(BM58,Fundamentus!A:U,12,FALSE)&lt;6,"Barata",IF(VLOOKUP(BM58,Fundamentus!A:U,12,FALSE)&lt;8,"Atrativa",IF(VLOOKUP(BM58,Fundamentus!A:U,12,FALSE)&gt;8,"Supervalorizada","n/a")))))</f>
        <v>Atrativa</v>
      </c>
      <c r="ER58" s="17" t="str">
        <f>IF(VLOOKUP(BM58,Fundamentus!A:U,17,FALSE)&lt;0.1,"Fraco retorno",IF(VLOOKUP(BM58,Fundamentus!A:U,17,FALSE)&gt;0.1,"Bom retorno","n/a"))</f>
        <v>Bom retorno</v>
      </c>
      <c r="ES58" s="17" t="str">
        <f>IF(VLOOKUP(BM58,Fundamentus!A:U,16,FALSE)&lt;0.1,"Ineficiente",IF(VLOOKUP(BM58,Fundamentus!A:U,16,FALSE)&gt;0.1,"Eficiente","n/a"))</f>
        <v>Ineficiente</v>
      </c>
      <c r="ET58" s="33" t="str">
        <f>IF(VLOOKUP(BM58,Fundamentus!A:U,16,FALSE)&lt;0.1,"Oper. Ineficiente",IF(VLOOKUP(BM58,Fundamentus!A:U,16,FALSE)&gt;0.1,"Oper.Eficiente","n/a"))</f>
        <v>Oper. Ineficiente</v>
      </c>
      <c r="EU58" s="34">
        <f>VLOOKUP(BM58,Fundamentus!A:U,14,FALSE)</f>
        <v>0.17449999999999999</v>
      </c>
      <c r="EV58" s="17" t="str">
        <f>IF(VLOOKUP(BM58,Fundamentus!A:U,21,FALSE)&lt;0,"Negativo",IF(VLOOKUP(BM58,Fundamentus!A:U,21,FALSE)&lt;0.05,"Fraco",IF(VLOOKUP(BM58,Fundamentus!A:U,21,FALSE)&lt;0.1,"Bom",IF(VLOOKUP(BM58,Fundamentus!A:U,21,FALSE)&gt;0.1,"Muito bom","n/a"))))</f>
        <v>Muito bom</v>
      </c>
      <c r="EX58" s="29" t="str">
        <f>IF(VLOOKUP(BM58,Fundamentus!A:U,15,FALSE)&gt;1,"Bom",IF(VLOOKUP(BM58,Fundamentus!A:U,15,FALSE)&lt;1,"Ruim","n/a"))</f>
        <v>Bom</v>
      </c>
      <c r="EY58" s="17" t="str">
        <f>IF(VLOOKUP(BM58,Fundamentus!A:U,20,FALSE)&lt;0.5,"Baixa",IF(VLOOKUP(BM58,Fundamentus!A:U,20,FALSE)&lt;1,"Moderada",IF(VLOOKUP(BM58,Fundamentus!A:U,20,FALSE)&lt;2,"Alerta",IF(VLOOKUP(BM58,Fundamentus!A:U,20,FALSE)&gt;2,"Alta","n/a"))))</f>
        <v>Moderada</v>
      </c>
    </row>
    <row r="59" spans="1:155" s="2" customFormat="1" ht="11.25" x14ac:dyDescent="0.2">
      <c r="A59" s="4">
        <v>16.440000000000001</v>
      </c>
      <c r="B59" s="4">
        <v>16.21</v>
      </c>
      <c r="C59" s="4">
        <v>15.89</v>
      </c>
      <c r="D59" s="4">
        <v>15.55</v>
      </c>
      <c r="E59" s="4">
        <v>14.94</v>
      </c>
      <c r="F59" s="4">
        <v>14.53</v>
      </c>
      <c r="G59" s="4">
        <v>14.48</v>
      </c>
      <c r="H59" s="4">
        <v>14.2</v>
      </c>
      <c r="I59" s="4">
        <v>14.27</v>
      </c>
      <c r="J59" s="4">
        <v>14.36</v>
      </c>
      <c r="K59" s="4">
        <v>14.4</v>
      </c>
      <c r="L59" s="4">
        <v>14.53</v>
      </c>
      <c r="M59" s="4">
        <v>14.43</v>
      </c>
      <c r="N59" s="4">
        <v>14.02</v>
      </c>
      <c r="O59" s="4">
        <v>13.9</v>
      </c>
      <c r="P59" s="4">
        <v>14.23</v>
      </c>
      <c r="Q59" s="4">
        <v>15.13</v>
      </c>
      <c r="R59" s="4">
        <v>16.350000000000001</v>
      </c>
      <c r="S59" s="4">
        <v>15.85</v>
      </c>
      <c r="T59" s="4">
        <v>15.01</v>
      </c>
      <c r="U59" s="4">
        <v>14.5</v>
      </c>
      <c r="V59" s="4">
        <v>14.74</v>
      </c>
      <c r="W59" s="4">
        <v>14.41</v>
      </c>
      <c r="X59" s="4">
        <v>14.21</v>
      </c>
      <c r="Y59" s="4">
        <v>14.29</v>
      </c>
      <c r="Z59" s="4">
        <v>14.49</v>
      </c>
      <c r="AA59" s="4">
        <v>14.54</v>
      </c>
      <c r="AB59" s="4">
        <v>14.17</v>
      </c>
      <c r="AC59" s="4">
        <v>14.08</v>
      </c>
      <c r="AD59" s="4">
        <v>14.66</v>
      </c>
      <c r="AE59" s="4">
        <v>14.53</v>
      </c>
      <c r="AF59" s="4">
        <v>15.28</v>
      </c>
      <c r="AG59" s="4">
        <v>15.66</v>
      </c>
      <c r="AH59" s="4">
        <v>14.95</v>
      </c>
      <c r="AI59" s="4">
        <v>14.55</v>
      </c>
      <c r="AJ59" s="4">
        <v>14.31</v>
      </c>
      <c r="AK59" s="4">
        <v>14.16</v>
      </c>
      <c r="AL59" s="4">
        <v>14.48</v>
      </c>
      <c r="AM59" s="4">
        <v>14.76</v>
      </c>
      <c r="AN59" s="4">
        <v>14.68</v>
      </c>
      <c r="AO59" s="4">
        <v>14.35</v>
      </c>
      <c r="AP59" s="4">
        <v>14.67</v>
      </c>
      <c r="AQ59" s="4">
        <v>15.64</v>
      </c>
      <c r="AR59" s="4">
        <v>15.2</v>
      </c>
      <c r="AS59" s="4">
        <v>15.99</v>
      </c>
      <c r="AT59" s="4">
        <v>15.85</v>
      </c>
      <c r="AU59" s="4">
        <v>15.1</v>
      </c>
      <c r="AV59" s="4">
        <v>15.2</v>
      </c>
      <c r="AW59" s="4">
        <v>15.12</v>
      </c>
      <c r="AX59" s="4">
        <v>15.28</v>
      </c>
      <c r="AY59" s="12">
        <v>15.8</v>
      </c>
      <c r="AZ59" s="12">
        <v>16.63</v>
      </c>
      <c r="BA59" s="12">
        <v>16.36</v>
      </c>
      <c r="BB59" s="15">
        <v>14.99</v>
      </c>
      <c r="BC59" s="52">
        <v>15.38</v>
      </c>
      <c r="BD59" s="52">
        <v>15.25</v>
      </c>
      <c r="BE59" s="52">
        <v>15.07</v>
      </c>
      <c r="BF59" s="52">
        <v>14.76</v>
      </c>
      <c r="BG59" s="67">
        <v>14.6</v>
      </c>
      <c r="BH59" s="52">
        <v>14.2</v>
      </c>
      <c r="BI59" s="52">
        <v>14.38</v>
      </c>
      <c r="BJ59" s="52">
        <v>14.9</v>
      </c>
      <c r="BK59" s="52">
        <v>14.4</v>
      </c>
      <c r="BL59" s="52" cm="1">
        <f t="array" aca="1" ref="BL59" ca="1">_FV(EC59,"Preço")</f>
        <v>14.4</v>
      </c>
      <c r="BM59" s="69" t="s">
        <v>56</v>
      </c>
      <c r="BN59" s="36" cm="1">
        <f t="array" aca="1" ref="BN59" ca="1">_FV(EC59,"Média de volume",TRUE)</f>
        <v>3873210</v>
      </c>
      <c r="BO59" s="36">
        <v>2969600</v>
      </c>
      <c r="BP59" s="36" cm="1">
        <f t="array" aca="1" ref="BP59" ca="1">_FV(EC59,"Volume")</f>
        <v>2969600</v>
      </c>
      <c r="BQ59" s="24" cm="1">
        <f t="array" aca="1" ref="BQ59" ca="1">_FV(EC59,"Beta")</f>
        <v>0.94879999999999998</v>
      </c>
      <c r="BR59" s="71" cm="1">
        <f t="array" aca="1" ref="BR59" ca="1">_FV(EC59,"Variação (%)",TRUE)</f>
        <v>-1.1668000000000001E-2</v>
      </c>
      <c r="BT59" s="17" cm="1">
        <f t="array" aca="1" ref="BT59" ca="1">_FV(EC59,"Baixo")</f>
        <v>14.4</v>
      </c>
      <c r="BU59" s="17" cm="1">
        <f t="array" aca="1" ref="BU59" ca="1">_FV(EC59,"Alto")</f>
        <v>14.67</v>
      </c>
      <c r="BV59" s="24"/>
      <c r="BW59" s="63">
        <f ca="1">SQRT(22.5*(BL59/VLOOKUP(BM59,Fundamentus!A:U,3,FALSE))*(BL59/VLOOKUP(BM59,Fundamentus!A:U,4,FALSE)))</f>
        <v>11.627835808365734</v>
      </c>
      <c r="BY59" s="62">
        <f t="shared" ca="1" si="24"/>
        <v>0</v>
      </c>
      <c r="BZ59" s="8"/>
      <c r="CA59" s="61">
        <f t="shared" si="25"/>
        <v>13.9</v>
      </c>
      <c r="CB59" s="61">
        <f t="shared" si="26"/>
        <v>16.63</v>
      </c>
      <c r="CC59" s="61">
        <f t="shared" si="27"/>
        <v>14.909365079365081</v>
      </c>
      <c r="CD59" s="14"/>
      <c r="CE59" s="35">
        <f t="shared" si="1"/>
        <v>14.048227390208895</v>
      </c>
      <c r="CF59" s="15">
        <f t="shared" si="28"/>
        <v>14.526000000000067</v>
      </c>
      <c r="CG59" s="35">
        <f t="shared" si="2"/>
        <v>15.003772609791239</v>
      </c>
      <c r="CI59" s="14"/>
      <c r="CJ59" s="17">
        <f t="shared" si="3"/>
        <v>10.926666666666668</v>
      </c>
      <c r="CK59" s="17">
        <f t="shared" si="4"/>
        <v>12.413333333333334</v>
      </c>
      <c r="CL59" s="17">
        <f t="shared" si="5"/>
        <v>13.656666666666666</v>
      </c>
      <c r="CM59" s="38">
        <f t="shared" si="29"/>
        <v>15.143333333333333</v>
      </c>
      <c r="CN59" s="17">
        <f t="shared" si="6"/>
        <v>16.386666666666663</v>
      </c>
      <c r="CO59" s="17">
        <f t="shared" si="7"/>
        <v>17.873333333333331</v>
      </c>
      <c r="CP59" s="17">
        <f t="shared" si="8"/>
        <v>19.116666666666664</v>
      </c>
      <c r="CQ59" s="2" cm="1">
        <f t="array" aca="1" ref="CQ59" ca="1">MAX(_xlfn._xlws.FILTER(CJ59:CP59,CJ59:CP59&lt;BL59))</f>
        <v>13.656666666666666</v>
      </c>
      <c r="CR59" s="2" cm="1">
        <f t="array" aca="1" ref="CR59" ca="1">MIN(_xlfn._xlws.FILTER($CJ59:$CP59,$CJ59:$CP59&gt;BL59))</f>
        <v>15.143333333333333</v>
      </c>
      <c r="CS59" s="16">
        <f t="shared" ca="1" si="80"/>
        <v>0.1088601415670003</v>
      </c>
      <c r="CT59" s="20">
        <f t="shared" ca="1" si="81"/>
        <v>-5.4430070783500151E-2</v>
      </c>
      <c r="CU59" s="20">
        <f t="shared" ca="1" si="82"/>
        <v>-3.6286713855666765E-2</v>
      </c>
      <c r="CV59" s="20">
        <f t="shared" ca="1" si="83"/>
        <v>-2.1772028313400062E-2</v>
      </c>
      <c r="CW59" s="20">
        <f t="shared" ca="1" si="84"/>
        <v>-1.2095571285222255E-2</v>
      </c>
      <c r="CX59" s="20">
        <f t="shared" ca="1" si="85"/>
        <v>-6.4035377392353118E-3</v>
      </c>
      <c r="CY59" s="20">
        <f t="shared" ca="1" si="86"/>
        <v>-3.2987921686969787E-3</v>
      </c>
      <c r="CZ59" s="20">
        <f t="shared" ca="1" si="87"/>
        <v>-1.6747714087230817E-3</v>
      </c>
      <c r="DA59" s="21">
        <f t="shared" ca="1" si="88"/>
        <v>1.6747714087230817E-3</v>
      </c>
      <c r="DB59" s="21">
        <f t="shared" ca="1" si="89"/>
        <v>3.2987921686969787E-3</v>
      </c>
      <c r="DC59" s="21">
        <f t="shared" ca="1" si="90"/>
        <v>6.4035377392353118E-3</v>
      </c>
      <c r="DD59" s="21">
        <f t="shared" ca="1" si="91"/>
        <v>1.2095571285222255E-2</v>
      </c>
      <c r="DE59" s="21">
        <f t="shared" ca="1" si="92"/>
        <v>2.1772028313400062E-2</v>
      </c>
      <c r="DF59" s="21">
        <f t="shared" ca="1" si="93"/>
        <v>3.6286713855666765E-2</v>
      </c>
      <c r="DG59" s="21">
        <f t="shared" ca="1" si="94"/>
        <v>5.4430070783500151E-2</v>
      </c>
      <c r="DI59" s="16" cm="1">
        <f t="array" aca="1" ref="DI59" ca="1">MAX(_xlfn._xlws.FILTER(CT59:DG59,CT59:DG59&lt;BR59))</f>
        <v>-1.2095571285222255E-2</v>
      </c>
      <c r="DJ59" s="16" cm="1">
        <f t="array" aca="1" ref="DJ59" ca="1">MIN(_xlfn._xlws.FILTER(CT59:DG59,CT59:DG59&gt;BR59))</f>
        <v>-6.4035377392353118E-3</v>
      </c>
      <c r="DK59" s="2" cm="1">
        <f t="array" aca="1" ref="DK59" ca="1">_FV(EC59,"Fechamento anterior",TRUE)</f>
        <v>14.57</v>
      </c>
      <c r="DL59" s="28">
        <f t="shared" ca="1" si="15"/>
        <v>7.515077205758415E-2</v>
      </c>
      <c r="DM59" s="15">
        <f t="shared" ca="1" si="95"/>
        <v>14.393767526374312</v>
      </c>
      <c r="DN59" s="15">
        <f t="shared" ca="1" si="96"/>
        <v>14.476700455139342</v>
      </c>
      <c r="DO59" s="9"/>
      <c r="DP59" s="9"/>
      <c r="DQ59" s="9"/>
      <c r="DR59" s="89">
        <v>5.8922941102282746E-3</v>
      </c>
      <c r="DS59" s="89">
        <v>1.7590204362560027E-3</v>
      </c>
      <c r="DT59" s="89">
        <v>9.6764570281778067E-3</v>
      </c>
      <c r="DU59" s="89">
        <v>5.6920335459869431E-3</v>
      </c>
      <c r="DV59" s="89">
        <f t="shared" ca="1" si="18"/>
        <v>5.6920335459869431E-3</v>
      </c>
      <c r="DW59" s="72">
        <f t="shared" ca="1" si="19"/>
        <v>-0.2637237828579998</v>
      </c>
      <c r="DX59" s="37"/>
      <c r="DY59" s="35">
        <f t="shared" si="39"/>
        <v>0.23888630489558565</v>
      </c>
      <c r="DZ59" s="56"/>
      <c r="EA59" s="56"/>
      <c r="EC59" s="2" t="e" vm="59">
        <v>#VALUE!</v>
      </c>
      <c r="EE59" s="10" cm="1">
        <f t="array" aca="1" ref="EE59" ca="1">_FV(EC59,"Ações em circulação",TRUE)</f>
        <v>3000000000</v>
      </c>
      <c r="EF59" s="18">
        <f>VLOOKUP(BM59,Fundamentus!A:U,5,FALSE)</f>
        <v>0</v>
      </c>
      <c r="EG59" s="2" t="e">
        <f t="shared" ca="1" si="20"/>
        <v>#DIV/0!</v>
      </c>
      <c r="EH59" s="17" t="e">
        <v>#DIV/0!</v>
      </c>
      <c r="EI59" s="17" t="e">
        <f t="shared" ca="1" si="21"/>
        <v>#DIV/0!</v>
      </c>
      <c r="EK59" s="16" t="e">
        <f t="shared" ca="1" si="22"/>
        <v>#DIV/0!</v>
      </c>
      <c r="EL59" s="32" t="str">
        <f>IF(VLOOKUP(BM59,Fundamentus!A:U,3,FALSE)&lt;15,"Bom",IF(VLOOKUP(BM59,Fundamentus!A:U,3,FALSE)&gt;15,"Ruim","n/a"))</f>
        <v>Bom</v>
      </c>
      <c r="EM59" s="28" t="str">
        <f>IF(VLOOKUP(BM59,Fundamentus!A:U,4,FALSE)&lt;1,"Baixo",IF(VLOOKUP(BM59,Fundamentus!A:U,4,FALSE)&lt;1.5,"Moderado",IF(VLOOKUP(BM59,Fundamentus!A:U,4,FALSE)&gt;1.5,"Alto","n/a")))</f>
        <v>Alto</v>
      </c>
      <c r="EN59" s="17" t="str">
        <f>IF(VLOOKUP(BM59,Fundamentus!A:U,8,FALSE)&lt;0,"Risco elevado",IF(VLOOKUP(BM59,Fundamentus!A:U,8,FALSE)&lt;1,"Saudável",IF(VLOOKUP(BM59,Fundamentus!A:U,8,FALSE)&lt;3,"Estável",IF(VLOOKUP(BM59,Fundamentus!A:U,8,FALSE)&gt;3,"Alerta","n/a"))))</f>
        <v>Alerta</v>
      </c>
      <c r="EO59" s="28" t="str">
        <f t="shared" si="23"/>
        <v>Ruim</v>
      </c>
      <c r="EP59" s="17" t="str">
        <f>IF(VLOOKUP(BM59,Fundamentus!A:U,12,FALSE)&lt;2,"Subvalorizada",IF(VLOOKUP(BM59,Fundamentus!A:U,12,FALSE)&lt;6,"Muita barata",IF(VLOOKUP(BM59,Fundamentus!A:U,12,FALSE)&lt;6,"Barata",IF(VLOOKUP(BM59,Fundamentus!A:U,12,FALSE)&lt;8,"Atrativa",IF(VLOOKUP(BM59,Fundamentus!A:U,12,FALSE)&gt;8,"Supervalorizada","n/a")))))</f>
        <v>Subvalorizada</v>
      </c>
      <c r="ER59" s="17" t="str">
        <f>IF(VLOOKUP(BM59,Fundamentus!A:U,17,FALSE)&lt;0.1,"Fraco retorno",IF(VLOOKUP(BM59,Fundamentus!A:U,17,FALSE)&gt;0.1,"Bom retorno","n/a"))</f>
        <v>Bom retorno</v>
      </c>
      <c r="ES59" s="17" t="str">
        <f>IF(VLOOKUP(BM59,Fundamentus!A:U,16,FALSE)&lt;0.1,"Ineficiente",IF(VLOOKUP(BM59,Fundamentus!A:U,16,FALSE)&gt;0.1,"Eficiente","n/a"))</f>
        <v>Ineficiente</v>
      </c>
      <c r="ET59" s="33" t="str">
        <f>IF(VLOOKUP(BM59,Fundamentus!A:U,16,FALSE)&lt;0.1,"Oper. Ineficiente",IF(VLOOKUP(BM59,Fundamentus!A:U,16,FALSE)&gt;0.1,"Oper.Eficiente","n/a"))</f>
        <v>Oper. Ineficiente</v>
      </c>
      <c r="EU59" s="34">
        <f>VLOOKUP(BM59,Fundamentus!A:U,14,FALSE)</f>
        <v>0</v>
      </c>
      <c r="EV59" s="17" t="str">
        <f>IF(VLOOKUP(BM59,Fundamentus!A:U,21,FALSE)&lt;0,"Negativo",IF(VLOOKUP(BM59,Fundamentus!A:U,21,FALSE)&lt;0.05,"Fraco",IF(VLOOKUP(BM59,Fundamentus!A:U,21,FALSE)&lt;0.1,"Bom",IF(VLOOKUP(BM59,Fundamentus!A:U,21,FALSE)&gt;0.1,"Muito bom","n/a"))))</f>
        <v>Fraco</v>
      </c>
      <c r="EX59" s="29" t="str">
        <f>IF(VLOOKUP(BM59,Fundamentus!A:U,15,FALSE)&gt;1,"Bom",IF(VLOOKUP(BM59,Fundamentus!A:U,15,FALSE)&lt;1,"Ruim","n/a"))</f>
        <v>Bom</v>
      </c>
      <c r="EY59" s="17" t="str">
        <f>IF(VLOOKUP(BM59,Fundamentus!A:U,20,FALSE)&lt;0.5,"Baixa",IF(VLOOKUP(BM59,Fundamentus!A:U,20,FALSE)&lt;1,"Moderada",IF(VLOOKUP(BM59,Fundamentus!A:U,20,FALSE)&lt;2,"Alerta",IF(VLOOKUP(BM59,Fundamentus!A:U,20,FALSE)&gt;2,"Alta","n/a"))))</f>
        <v>Baixa</v>
      </c>
    </row>
    <row r="60" spans="1:155" s="2" customFormat="1" ht="11.25" x14ac:dyDescent="0.2">
      <c r="A60" s="4">
        <v>7.46</v>
      </c>
      <c r="B60" s="4">
        <v>7.7</v>
      </c>
      <c r="C60" s="4">
        <v>7.16</v>
      </c>
      <c r="D60" s="4">
        <v>6.97</v>
      </c>
      <c r="E60" s="4">
        <v>6.91</v>
      </c>
      <c r="F60" s="4">
        <v>7.19</v>
      </c>
      <c r="G60" s="4">
        <v>6.9</v>
      </c>
      <c r="H60" s="4">
        <v>7.18</v>
      </c>
      <c r="I60" s="4">
        <v>7.4</v>
      </c>
      <c r="J60" s="4">
        <v>7.71</v>
      </c>
      <c r="K60" s="4">
        <v>7.92</v>
      </c>
      <c r="L60" s="4">
        <v>8.1199999999999992</v>
      </c>
      <c r="M60" s="4">
        <v>7.85</v>
      </c>
      <c r="N60" s="4">
        <v>8.0500000000000007</v>
      </c>
      <c r="O60" s="4">
        <v>7.62</v>
      </c>
      <c r="P60" s="4">
        <v>7.47</v>
      </c>
      <c r="Q60" s="4">
        <v>7.7</v>
      </c>
      <c r="R60" s="4">
        <v>7.53</v>
      </c>
      <c r="S60" s="4">
        <v>8.4499999999999993</v>
      </c>
      <c r="T60" s="4">
        <v>7.92</v>
      </c>
      <c r="U60" s="4">
        <v>7.3</v>
      </c>
      <c r="V60" s="4">
        <v>7.64</v>
      </c>
      <c r="W60" s="4">
        <v>7.69</v>
      </c>
      <c r="X60" s="4">
        <v>7.6</v>
      </c>
      <c r="Y60" s="4">
        <v>7.52</v>
      </c>
      <c r="Z60" s="4">
        <v>7.63</v>
      </c>
      <c r="AA60" s="4">
        <v>7.47</v>
      </c>
      <c r="AB60" s="4">
        <v>8.3000000000000007</v>
      </c>
      <c r="AC60" s="4">
        <v>8.42</v>
      </c>
      <c r="AD60" s="4">
        <v>8.86</v>
      </c>
      <c r="AE60" s="4">
        <v>8.85</v>
      </c>
      <c r="AF60" s="4">
        <v>8.8800000000000008</v>
      </c>
      <c r="AG60" s="4">
        <v>7.03</v>
      </c>
      <c r="AH60" s="4">
        <v>6.69</v>
      </c>
      <c r="AI60" s="4">
        <v>6.7</v>
      </c>
      <c r="AJ60" s="4">
        <v>6.66</v>
      </c>
      <c r="AK60" s="4">
        <v>6.92</v>
      </c>
      <c r="AL60" s="4">
        <v>6.9</v>
      </c>
      <c r="AM60" s="4">
        <v>6.78</v>
      </c>
      <c r="AN60" s="4">
        <v>6.97</v>
      </c>
      <c r="AO60" s="4">
        <v>7.18</v>
      </c>
      <c r="AP60" s="4">
        <v>7.18</v>
      </c>
      <c r="AQ60" s="4">
        <v>7.22</v>
      </c>
      <c r="AR60" s="4">
        <v>6.9</v>
      </c>
      <c r="AS60" s="4">
        <v>6.77</v>
      </c>
      <c r="AT60" s="4">
        <v>7.05</v>
      </c>
      <c r="AU60" s="4">
        <v>7.1549999999999994</v>
      </c>
      <c r="AV60" s="4">
        <v>7</v>
      </c>
      <c r="AW60" s="4">
        <v>6.8</v>
      </c>
      <c r="AX60" s="4">
        <v>6.68</v>
      </c>
      <c r="AY60" s="12">
        <v>6.8</v>
      </c>
      <c r="AZ60" s="12">
        <v>7.01</v>
      </c>
      <c r="BA60" s="12">
        <v>7.01</v>
      </c>
      <c r="BB60" s="15">
        <v>7.1</v>
      </c>
      <c r="BC60" s="52">
        <v>6.93</v>
      </c>
      <c r="BD60" s="52">
        <v>6.8</v>
      </c>
      <c r="BE60" s="52">
        <v>7.12</v>
      </c>
      <c r="BF60" s="52">
        <v>7.16</v>
      </c>
      <c r="BG60" s="67">
        <v>7.07</v>
      </c>
      <c r="BH60" s="52">
        <v>7.07</v>
      </c>
      <c r="BI60" s="52">
        <v>6.84</v>
      </c>
      <c r="BJ60" s="52">
        <v>7.04</v>
      </c>
      <c r="BK60" s="52">
        <v>6.97</v>
      </c>
      <c r="BL60" s="52" cm="1">
        <f t="array" aca="1" ref="BL60" ca="1">_FV(EC60,"Preço")</f>
        <v>6.97</v>
      </c>
      <c r="BM60" s="69" t="s">
        <v>57</v>
      </c>
      <c r="BN60" s="36" cm="1">
        <f t="array" aca="1" ref="BN60" ca="1">_FV(EC60,"Média de volume",TRUE)</f>
        <v>39720</v>
      </c>
      <c r="BO60" s="36">
        <v>50600</v>
      </c>
      <c r="BP60" s="36" cm="1">
        <f t="array" aca="1" ref="BP60" ca="1">_FV(EC60,"Volume")</f>
        <v>50600</v>
      </c>
      <c r="BQ60" s="24" cm="1">
        <f t="array" aca="1" ref="BQ60" ca="1">_FV(EC60,"Beta")</f>
        <v>1.2201</v>
      </c>
      <c r="BR60" s="71" cm="1">
        <f t="array" aca="1" ref="BR60" ca="1">_FV(EC60,"Variação (%)",TRUE)</f>
        <v>4.3230000000000005E-3</v>
      </c>
      <c r="BT60" s="17" cm="1">
        <f t="array" aca="1" ref="BT60" ca="1">_FV(EC60,"Baixo")</f>
        <v>6.86</v>
      </c>
      <c r="BU60" s="17" cm="1">
        <f t="array" aca="1" ref="BU60" ca="1">_FV(EC60,"Alto")</f>
        <v>6.98</v>
      </c>
      <c r="BV60" s="24"/>
      <c r="BW60" s="63">
        <f ca="1">SQRT(22.5*(BL60/VLOOKUP(BM60,Fundamentus!A:U,3,FALSE))*(BL60/VLOOKUP(BM60,Fundamentus!A:U,4,FALSE)))</f>
        <v>20.740618567430005</v>
      </c>
      <c r="BY60" s="62">
        <f t="shared" ca="1" si="24"/>
        <v>0</v>
      </c>
      <c r="BZ60" s="8"/>
      <c r="CA60" s="61">
        <f t="shared" si="25"/>
        <v>6.66</v>
      </c>
      <c r="CB60" s="61">
        <f t="shared" si="26"/>
        <v>8.8800000000000008</v>
      </c>
      <c r="CC60" s="61">
        <f t="shared" si="27"/>
        <v>7.3472222222222232</v>
      </c>
      <c r="CD60" s="14"/>
      <c r="CE60" s="35">
        <f t="shared" si="1"/>
        <v>6.7754171016010387</v>
      </c>
      <c r="CF60" s="15">
        <f t="shared" si="28"/>
        <v>6.9750000000000085</v>
      </c>
      <c r="CG60" s="35">
        <f t="shared" si="2"/>
        <v>7.1745828983989783</v>
      </c>
      <c r="CI60" s="14"/>
      <c r="CJ60" s="17">
        <f t="shared" si="3"/>
        <v>3.9533333333333331</v>
      </c>
      <c r="CK60" s="17">
        <f t="shared" si="4"/>
        <v>5.3066666666666666</v>
      </c>
      <c r="CL60" s="17">
        <f t="shared" si="5"/>
        <v>6.1733333333333338</v>
      </c>
      <c r="CM60" s="38">
        <f t="shared" si="29"/>
        <v>7.5266666666666673</v>
      </c>
      <c r="CN60" s="17">
        <f t="shared" si="6"/>
        <v>8.3933333333333344</v>
      </c>
      <c r="CO60" s="17">
        <f t="shared" si="7"/>
        <v>9.7466666666666679</v>
      </c>
      <c r="CP60" s="17">
        <f t="shared" si="8"/>
        <v>10.613333333333335</v>
      </c>
      <c r="CQ60" s="2" cm="1">
        <f t="array" aca="1" ref="CQ60" ca="1">MAX(_xlfn._xlws.FILTER(CJ60:CP60,CJ60:CP60&lt;BL60))</f>
        <v>6.1733333333333338</v>
      </c>
      <c r="CR60" s="2" cm="1">
        <f t="array" aca="1" ref="CR60" ca="1">MIN(_xlfn._xlws.FILTER($CJ60:$CP60,$CJ60:$CP60&gt;BL60))</f>
        <v>7.5266666666666673</v>
      </c>
      <c r="CS60" s="16">
        <f t="shared" ca="1" si="80"/>
        <v>0.21922246220302366</v>
      </c>
      <c r="CT60" s="20">
        <f t="shared" ca="1" si="81"/>
        <v>-0.10961123110151183</v>
      </c>
      <c r="CU60" s="20">
        <f t="shared" ca="1" si="82"/>
        <v>-7.3074154067674549E-2</v>
      </c>
      <c r="CV60" s="20">
        <f t="shared" ca="1" si="83"/>
        <v>-4.3844492440604732E-2</v>
      </c>
      <c r="CW60" s="20">
        <f t="shared" ca="1" si="84"/>
        <v>-2.4358051355891516E-2</v>
      </c>
      <c r="CX60" s="20">
        <f t="shared" ca="1" si="85"/>
        <v>-1.2895438953119039E-2</v>
      </c>
      <c r="CY60" s="20">
        <f t="shared" ca="1" si="86"/>
        <v>-6.6431049152431412E-3</v>
      </c>
      <c r="CZ60" s="20">
        <f t="shared" ca="1" si="87"/>
        <v>-3.3726532646619024E-3</v>
      </c>
      <c r="DA60" s="21">
        <f t="shared" ca="1" si="88"/>
        <v>3.3726532646619024E-3</v>
      </c>
      <c r="DB60" s="21">
        <f t="shared" ca="1" si="89"/>
        <v>6.6431049152431412E-3</v>
      </c>
      <c r="DC60" s="21">
        <f t="shared" ca="1" si="90"/>
        <v>1.2895438953119039E-2</v>
      </c>
      <c r="DD60" s="21">
        <f t="shared" ca="1" si="91"/>
        <v>2.4358051355891516E-2</v>
      </c>
      <c r="DE60" s="21">
        <f t="shared" ca="1" si="92"/>
        <v>4.3844492440604732E-2</v>
      </c>
      <c r="DF60" s="21">
        <f t="shared" ca="1" si="93"/>
        <v>7.3074154067674549E-2</v>
      </c>
      <c r="DG60" s="21">
        <f t="shared" ca="1" si="94"/>
        <v>0.10961123110151183</v>
      </c>
      <c r="DI60" s="16" cm="1">
        <f t="array" aca="1" ref="DI60" ca="1">MAX(_xlfn._xlws.FILTER(CT60:DG60,CT60:DG60&lt;BR60))</f>
        <v>3.3726532646619024E-3</v>
      </c>
      <c r="DJ60" s="16" cm="1">
        <f t="array" aca="1" ref="DJ60" ca="1">MIN(_xlfn._xlws.FILTER(CT60:DG60,CT60:DG60&gt;BR60))</f>
        <v>6.6431049152431412E-3</v>
      </c>
      <c r="DK60" s="2" cm="1">
        <f t="array" aca="1" ref="DK60" ca="1">_FV(EC60,"Fechamento anterior",TRUE)</f>
        <v>6.94</v>
      </c>
      <c r="DL60" s="28">
        <f t="shared" ca="1" si="15"/>
        <v>0.29051440212374913</v>
      </c>
      <c r="DM60" s="15">
        <f t="shared" ca="1" si="95"/>
        <v>6.9634062136567536</v>
      </c>
      <c r="DN60" s="15">
        <f t="shared" ca="1" si="96"/>
        <v>6.9861031481117877</v>
      </c>
      <c r="DO60" s="9"/>
      <c r="DP60" s="9"/>
      <c r="DQ60" s="9"/>
      <c r="DR60" s="89">
        <v>5.3623252456504794E-3</v>
      </c>
      <c r="DS60" s="89">
        <v>3.2358025899468343E-3</v>
      </c>
      <c r="DT60" s="89">
        <v>6.7453065293238048E-3</v>
      </c>
      <c r="DU60" s="89">
        <v>3.2704516505812388E-3</v>
      </c>
      <c r="DV60" s="89">
        <f t="shared" ca="1" si="18"/>
        <v>3.2704516505812388E-3</v>
      </c>
      <c r="DW60" s="72">
        <f t="shared" ca="1" si="19"/>
        <v>-2.5052246661002413E-2</v>
      </c>
      <c r="DX60" s="37"/>
      <c r="DY60" s="35">
        <f t="shared" si="39"/>
        <v>9.9791449199484822E-2</v>
      </c>
      <c r="DZ60" s="56"/>
      <c r="EA60" s="56"/>
      <c r="EC60" s="2" t="e" vm="60">
        <v>#VALUE!</v>
      </c>
      <c r="EE60" s="10" cm="1">
        <f t="array" aca="1" ref="EE60" ca="1">_FV(EC60,"Ações em circulação",TRUE)</f>
        <v>94507240</v>
      </c>
      <c r="EF60" s="18">
        <f>VLOOKUP(BM60,Fundamentus!A:U,5,FALSE)</f>
        <v>0.126</v>
      </c>
      <c r="EG60" s="2">
        <f t="shared" ca="1" si="20"/>
        <v>5227900498.4126978</v>
      </c>
      <c r="EH60" s="17">
        <v>108740330.36698411</v>
      </c>
      <c r="EI60" s="17">
        <f t="shared" ca="1" si="21"/>
        <v>108740330.36698411</v>
      </c>
      <c r="EK60" s="16">
        <f t="shared" ca="1" si="22"/>
        <v>0</v>
      </c>
      <c r="EL60" s="32" t="str">
        <f>IF(VLOOKUP(BM60,Fundamentus!A:U,3,FALSE)&lt;15,"Bom",IF(VLOOKUP(BM60,Fundamentus!A:U,3,FALSE)&gt;15,"Ruim","n/a"))</f>
        <v>Bom</v>
      </c>
      <c r="EM60" s="28" t="str">
        <f>IF(VLOOKUP(BM60,Fundamentus!A:U,4,FALSE)&lt;1,"Baixo",IF(VLOOKUP(BM60,Fundamentus!A:U,4,FALSE)&lt;1.5,"Moderado",IF(VLOOKUP(BM60,Fundamentus!A:U,4,FALSE)&gt;1.5,"Alto","n/a")))</f>
        <v>Baixo</v>
      </c>
      <c r="EN60" s="17" t="str">
        <f>IF(VLOOKUP(BM60,Fundamentus!A:U,8,FALSE)&lt;0,"Risco elevado",IF(VLOOKUP(BM60,Fundamentus!A:U,8,FALSE)&lt;1,"Saudável",IF(VLOOKUP(BM60,Fundamentus!A:U,8,FALSE)&lt;3,"Estável",IF(VLOOKUP(BM60,Fundamentus!A:U,8,FALSE)&gt;3,"Alerta","n/a"))))</f>
        <v>Saudável</v>
      </c>
      <c r="EO60" s="28" t="str">
        <f t="shared" si="23"/>
        <v>Ruim</v>
      </c>
      <c r="EP60" s="17" t="str">
        <f>IF(VLOOKUP(BM60,Fundamentus!A:U,12,FALSE)&lt;2,"Subvalorizada",IF(VLOOKUP(BM60,Fundamentus!A:U,12,FALSE)&lt;6,"Muita barata",IF(VLOOKUP(BM60,Fundamentus!A:U,12,FALSE)&lt;6,"Barata",IF(VLOOKUP(BM60,Fundamentus!A:U,12,FALSE)&lt;8,"Atrativa",IF(VLOOKUP(BM60,Fundamentus!A:U,12,FALSE)&gt;8,"Supervalorizada","n/a")))))</f>
        <v>Muita barata</v>
      </c>
      <c r="ER60" s="17" t="str">
        <f>IF(VLOOKUP(BM60,Fundamentus!A:U,17,FALSE)&lt;0.1,"Fraco retorno",IF(VLOOKUP(BM60,Fundamentus!A:U,17,FALSE)&gt;0.1,"Bom retorno","n/a"))</f>
        <v>Fraco retorno</v>
      </c>
      <c r="ES60" s="17" t="str">
        <f>IF(VLOOKUP(BM60,Fundamentus!A:U,16,FALSE)&lt;0.1,"Ineficiente",IF(VLOOKUP(BM60,Fundamentus!A:U,16,FALSE)&gt;0.1,"Eficiente","n/a"))</f>
        <v>Ineficiente</v>
      </c>
      <c r="ET60" s="33" t="str">
        <f>IF(VLOOKUP(BM60,Fundamentus!A:U,16,FALSE)&lt;0.1,"Oper. Ineficiente",IF(VLOOKUP(BM60,Fundamentus!A:U,16,FALSE)&gt;0.1,"Oper.Eficiente","n/a"))</f>
        <v>Oper. Ineficiente</v>
      </c>
      <c r="EU60" s="34">
        <f>VLOOKUP(BM60,Fundamentus!A:U,14,FALSE)</f>
        <v>2.0799999999999999E-2</v>
      </c>
      <c r="EV60" s="17" t="str">
        <f>IF(VLOOKUP(BM60,Fundamentus!A:U,21,FALSE)&lt;0,"Negativo",IF(VLOOKUP(BM60,Fundamentus!A:U,21,FALSE)&lt;0.05,"Fraco",IF(VLOOKUP(BM60,Fundamentus!A:U,21,FALSE)&lt;0.1,"Bom",IF(VLOOKUP(BM60,Fundamentus!A:U,21,FALSE)&gt;0.1,"Muito bom","n/a"))))</f>
        <v>Fraco</v>
      </c>
      <c r="EX60" s="29" t="str">
        <f>IF(VLOOKUP(BM60,Fundamentus!A:U,15,FALSE)&gt;1,"Bom",IF(VLOOKUP(BM60,Fundamentus!A:U,15,FALSE)&lt;1,"Ruim","n/a"))</f>
        <v>Bom</v>
      </c>
      <c r="EY60" s="17" t="str">
        <f>IF(VLOOKUP(BM60,Fundamentus!A:U,20,FALSE)&lt;0.5,"Baixa",IF(VLOOKUP(BM60,Fundamentus!A:U,20,FALSE)&lt;1,"Moderada",IF(VLOOKUP(BM60,Fundamentus!A:U,20,FALSE)&lt;2,"Alerta",IF(VLOOKUP(BM60,Fundamentus!A:U,20,FALSE)&gt;2,"Alta","n/a"))))</f>
        <v>Baixa</v>
      </c>
    </row>
    <row r="61" spans="1:155" s="2" customFormat="1" ht="11.25" x14ac:dyDescent="0.2">
      <c r="A61" s="4">
        <v>10.7</v>
      </c>
      <c r="B61" s="4">
        <v>11.1</v>
      </c>
      <c r="C61" s="4">
        <v>10.28</v>
      </c>
      <c r="D61" s="4">
        <v>10.87</v>
      </c>
      <c r="E61" s="4">
        <v>10.38</v>
      </c>
      <c r="F61" s="4">
        <v>10.41</v>
      </c>
      <c r="G61" s="4">
        <v>10.029999999999999</v>
      </c>
      <c r="H61" s="4">
        <v>10.1</v>
      </c>
      <c r="I61" s="4">
        <v>10.48</v>
      </c>
      <c r="J61" s="4">
        <v>10.42</v>
      </c>
      <c r="K61" s="4">
        <v>10.51</v>
      </c>
      <c r="L61" s="4">
        <v>10.050000000000001</v>
      </c>
      <c r="M61" s="4">
        <v>10.34</v>
      </c>
      <c r="N61" s="4">
        <v>10.29</v>
      </c>
      <c r="O61" s="4">
        <v>10.26</v>
      </c>
      <c r="P61" s="4">
        <v>9.6</v>
      </c>
      <c r="Q61" s="4">
        <v>9.75</v>
      </c>
      <c r="R61" s="4">
        <v>9.7100000000000009</v>
      </c>
      <c r="S61" s="4">
        <v>9.08</v>
      </c>
      <c r="T61" s="4">
        <v>9.2899999999999991</v>
      </c>
      <c r="U61" s="4">
        <v>8.7799999999999994</v>
      </c>
      <c r="V61" s="4">
        <v>9.1</v>
      </c>
      <c r="W61" s="4">
        <v>8.91</v>
      </c>
      <c r="X61" s="4">
        <v>8.6999999999999993</v>
      </c>
      <c r="Y61" s="4">
        <v>9.0399999999999991</v>
      </c>
      <c r="Z61" s="4">
        <v>8.6999999999999993</v>
      </c>
      <c r="AA61" s="4">
        <v>8.93</v>
      </c>
      <c r="AB61" s="4">
        <v>8.61</v>
      </c>
      <c r="AC61" s="4">
        <v>8.2100000000000009</v>
      </c>
      <c r="AD61" s="4">
        <v>8.49</v>
      </c>
      <c r="AE61" s="4">
        <v>8.24</v>
      </c>
      <c r="AF61" s="4">
        <v>8.4</v>
      </c>
      <c r="AG61" s="4">
        <v>8.5</v>
      </c>
      <c r="AH61" s="4">
        <v>8.3000000000000007</v>
      </c>
      <c r="AI61" s="4">
        <v>8.42</v>
      </c>
      <c r="AJ61" s="4">
        <v>8.23</v>
      </c>
      <c r="AK61" s="4">
        <v>8.3800000000000008</v>
      </c>
      <c r="AL61" s="4">
        <v>8.77</v>
      </c>
      <c r="AM61" s="4">
        <v>8.76</v>
      </c>
      <c r="AN61" s="4">
        <v>8.64</v>
      </c>
      <c r="AO61" s="4">
        <v>8.1999999999999993</v>
      </c>
      <c r="AP61" s="4">
        <v>8.49</v>
      </c>
      <c r="AQ61" s="4">
        <v>8.42</v>
      </c>
      <c r="AR61" s="4">
        <v>7.96</v>
      </c>
      <c r="AS61" s="4">
        <v>8.18</v>
      </c>
      <c r="AT61" s="4">
        <v>8.15</v>
      </c>
      <c r="AU61" s="4">
        <v>8.1000000000000014</v>
      </c>
      <c r="AV61" s="4">
        <v>7.91</v>
      </c>
      <c r="AW61" s="4">
        <v>7.64</v>
      </c>
      <c r="AX61" s="4">
        <v>7.68</v>
      </c>
      <c r="AY61" s="12">
        <v>7.8</v>
      </c>
      <c r="AZ61" s="12">
        <v>8.18</v>
      </c>
      <c r="BA61" s="12">
        <v>8.0399999999999991</v>
      </c>
      <c r="BB61" s="15">
        <v>7.88</v>
      </c>
      <c r="BC61" s="52">
        <v>8.1999999999999993</v>
      </c>
      <c r="BD61" s="52">
        <v>9.39</v>
      </c>
      <c r="BE61" s="52">
        <v>9.3800000000000008</v>
      </c>
      <c r="BF61" s="52">
        <v>9.23</v>
      </c>
      <c r="BG61" s="67">
        <v>8.85</v>
      </c>
      <c r="BH61" s="52">
        <v>9.0399999999999991</v>
      </c>
      <c r="BI61" s="52">
        <v>9.15</v>
      </c>
      <c r="BJ61" s="52">
        <v>9.44</v>
      </c>
      <c r="BK61" s="52">
        <v>9.17</v>
      </c>
      <c r="BL61" s="52" cm="1">
        <f t="array" aca="1" ref="BL61" ca="1">_FV(EC61,"Preço")</f>
        <v>9.17</v>
      </c>
      <c r="BM61" s="69" t="s">
        <v>58</v>
      </c>
      <c r="BN61" s="36" cm="1">
        <f t="array" aca="1" ref="BN61" ca="1">_FV(EC61,"Média de volume",TRUE)</f>
        <v>83000</v>
      </c>
      <c r="BO61" s="36">
        <v>48600</v>
      </c>
      <c r="BP61" s="36" cm="1">
        <f t="array" aca="1" ref="BP61" ca="1">_FV(EC61,"Volume")</f>
        <v>48600</v>
      </c>
      <c r="BQ61" s="24" cm="1">
        <f t="array" aca="1" ref="BQ61" ca="1">_FV(EC61,"Beta")</f>
        <v>0.90500000000000003</v>
      </c>
      <c r="BR61" s="71" cm="1">
        <f t="array" aca="1" ref="BR61" ca="1">_FV(EC61,"Variação (%)",TRUE)</f>
        <v>4.3809999999999995E-3</v>
      </c>
      <c r="BT61" s="17" cm="1">
        <f t="array" aca="1" ref="BT61" ca="1">_FV(EC61,"Baixo")</f>
        <v>8.98</v>
      </c>
      <c r="BU61" s="17" cm="1">
        <f t="array" aca="1" ref="BU61" ca="1">_FV(EC61,"Alto")</f>
        <v>9.25</v>
      </c>
      <c r="BV61" s="24"/>
      <c r="BW61" s="63">
        <f ca="1">SQRT(22.5*(BL61/VLOOKUP(BM61,Fundamentus!A:U,3,FALSE))*(BL61/VLOOKUP(BM61,Fundamentus!A:U,4,FALSE)))</f>
        <v>17.751268910249426</v>
      </c>
      <c r="BY61" s="62">
        <f t="shared" ca="1" si="24"/>
        <v>0</v>
      </c>
      <c r="BZ61" s="8"/>
      <c r="CA61" s="61">
        <f t="shared" si="25"/>
        <v>7.64</v>
      </c>
      <c r="CB61" s="61">
        <f t="shared" si="26"/>
        <v>11.1</v>
      </c>
      <c r="CC61" s="61">
        <f t="shared" si="27"/>
        <v>9.0514285714285716</v>
      </c>
      <c r="CD61" s="14"/>
      <c r="CE61" s="35">
        <f t="shared" si="1"/>
        <v>8.8753605958316406</v>
      </c>
      <c r="CF61" s="15">
        <f t="shared" si="28"/>
        <v>9.2339999999999804</v>
      </c>
      <c r="CG61" s="35">
        <f t="shared" si="2"/>
        <v>9.5926394041683203</v>
      </c>
      <c r="CI61" s="14"/>
      <c r="CJ61" s="17">
        <f t="shared" si="3"/>
        <v>4.2266666666666657</v>
      </c>
      <c r="CK61" s="17">
        <f t="shared" si="4"/>
        <v>5.9333333333333327</v>
      </c>
      <c r="CL61" s="17">
        <f t="shared" si="5"/>
        <v>7.6866666666666656</v>
      </c>
      <c r="CM61" s="38">
        <f t="shared" si="29"/>
        <v>9.3933333333333326</v>
      </c>
      <c r="CN61" s="17">
        <f t="shared" si="6"/>
        <v>11.146666666666665</v>
      </c>
      <c r="CO61" s="17">
        <f t="shared" si="7"/>
        <v>12.853333333333332</v>
      </c>
      <c r="CP61" s="17">
        <f t="shared" si="8"/>
        <v>14.606666666666666</v>
      </c>
      <c r="CQ61" s="2" cm="1">
        <f t="array" aca="1" ref="CQ61" ca="1">MAX(_xlfn._xlws.FILTER(CJ61:CP61,CJ61:CP61&lt;BL61))</f>
        <v>7.6866666666666656</v>
      </c>
      <c r="CR61" s="2" cm="1">
        <f t="array" aca="1" ref="CR61" ca="1">MIN(_xlfn._xlws.FILTER($CJ61:$CP61,$CJ61:$CP61&gt;BL61))</f>
        <v>9.3933333333333326</v>
      </c>
      <c r="CS61" s="16">
        <f t="shared" ca="1" si="80"/>
        <v>0.22202948829141378</v>
      </c>
      <c r="CT61" s="20">
        <f t="shared" ca="1" si="81"/>
        <v>-0.11101474414570689</v>
      </c>
      <c r="CU61" s="20">
        <f t="shared" ca="1" si="82"/>
        <v>-7.4009829430471255E-2</v>
      </c>
      <c r="CV61" s="20">
        <f t="shared" ca="1" si="83"/>
        <v>-4.4405897658282754E-2</v>
      </c>
      <c r="CW61" s="20">
        <f t="shared" ca="1" si="84"/>
        <v>-2.4669943143490421E-2</v>
      </c>
      <c r="CX61" s="20">
        <f t="shared" ca="1" si="85"/>
        <v>-1.3060558134789046E-2</v>
      </c>
      <c r="CY61" s="20">
        <f t="shared" ca="1" si="86"/>
        <v>-6.7281663118610238E-3</v>
      </c>
      <c r="CZ61" s="20">
        <f t="shared" ca="1" si="87"/>
        <v>-3.4158382814063657E-3</v>
      </c>
      <c r="DA61" s="21">
        <f t="shared" ca="1" si="88"/>
        <v>3.4158382814063657E-3</v>
      </c>
      <c r="DB61" s="21">
        <f t="shared" ca="1" si="89"/>
        <v>6.7281663118610238E-3</v>
      </c>
      <c r="DC61" s="21">
        <f t="shared" ca="1" si="90"/>
        <v>1.3060558134789046E-2</v>
      </c>
      <c r="DD61" s="21">
        <f t="shared" ca="1" si="91"/>
        <v>2.4669943143490421E-2</v>
      </c>
      <c r="DE61" s="21">
        <f t="shared" ca="1" si="92"/>
        <v>4.4405897658282754E-2</v>
      </c>
      <c r="DF61" s="21">
        <f t="shared" ca="1" si="93"/>
        <v>7.4009829430471255E-2</v>
      </c>
      <c r="DG61" s="21">
        <f t="shared" ca="1" si="94"/>
        <v>0.11101474414570689</v>
      </c>
      <c r="DI61" s="16" cm="1">
        <f t="array" aca="1" ref="DI61" ca="1">MAX(_xlfn._xlws.FILTER(CT61:DG61,CT61:DG61&lt;BR61))</f>
        <v>3.4158382814063657E-3</v>
      </c>
      <c r="DJ61" s="16" cm="1">
        <f t="array" aca="1" ref="DJ61" ca="1">MIN(_xlfn._xlws.FILTER(CT61:DG61,CT61:DG61&gt;BR61))</f>
        <v>6.7281663118610238E-3</v>
      </c>
      <c r="DK61" s="2" cm="1">
        <f t="array" aca="1" ref="DK61" ca="1">_FV(EC61,"Fechamento anterior",TRUE)</f>
        <v>9.1300000000000008</v>
      </c>
      <c r="DL61" s="28">
        <f t="shared" ca="1" si="15"/>
        <v>0.2914333113704306</v>
      </c>
      <c r="DM61" s="15">
        <f t="shared" ca="1" si="95"/>
        <v>9.1611866035092415</v>
      </c>
      <c r="DN61" s="15">
        <f t="shared" ca="1" si="96"/>
        <v>9.1914281584272928</v>
      </c>
      <c r="DO61" s="9"/>
      <c r="DP61" s="9"/>
      <c r="DQ61" s="9"/>
      <c r="DR61" s="89">
        <v>1.3413256884718967E-2</v>
      </c>
      <c r="DS61" s="89">
        <v>2.3197237456835277E-2</v>
      </c>
      <c r="DT61" s="89">
        <v>5.7432985750941693E-3</v>
      </c>
      <c r="DU61" s="89">
        <v>3.3123280304546581E-3</v>
      </c>
      <c r="DV61" s="89">
        <f t="shared" ca="1" si="18"/>
        <v>3.3123280304546581E-3</v>
      </c>
      <c r="DW61" s="72">
        <f t="shared" ca="1" si="19"/>
        <v>-0.17845222598557492</v>
      </c>
      <c r="DX61" s="37"/>
      <c r="DY61" s="35">
        <f t="shared" si="39"/>
        <v>0.17931970208417028</v>
      </c>
      <c r="DZ61" s="56"/>
      <c r="EA61" s="56"/>
      <c r="EC61" s="2" t="e" vm="61">
        <v>#VALUE!</v>
      </c>
      <c r="EE61" s="10" cm="1">
        <f t="array" aca="1" ref="EE61" ca="1">_FV(EC61,"Ações em circulação",TRUE)</f>
        <v>103538800</v>
      </c>
      <c r="EF61" s="18">
        <f>VLOOKUP(BM61,Fundamentus!A:U,5,FALSE)</f>
        <v>0.47799999999999998</v>
      </c>
      <c r="EG61" s="2">
        <f t="shared" ca="1" si="20"/>
        <v>1986298736.4016738</v>
      </c>
      <c r="EH61" s="17">
        <v>156917600.17573223</v>
      </c>
      <c r="EI61" s="17">
        <f t="shared" ca="1" si="21"/>
        <v>156917600.17573223</v>
      </c>
      <c r="EK61" s="16">
        <f t="shared" ca="1" si="22"/>
        <v>0</v>
      </c>
      <c r="EL61" s="32" t="str">
        <f>IF(VLOOKUP(BM61,Fundamentus!A:U,3,FALSE)&lt;15,"Bom",IF(VLOOKUP(BM61,Fundamentus!A:U,3,FALSE)&gt;15,"Ruim","n/a"))</f>
        <v>Bom</v>
      </c>
      <c r="EM61" s="28" t="str">
        <f>IF(VLOOKUP(BM61,Fundamentus!A:U,4,FALSE)&lt;1,"Baixo",IF(VLOOKUP(BM61,Fundamentus!A:U,4,FALSE)&lt;1.5,"Moderado",IF(VLOOKUP(BM61,Fundamentus!A:U,4,FALSE)&gt;1.5,"Alto","n/a")))</f>
        <v>Baixo</v>
      </c>
      <c r="EN61" s="17" t="str">
        <f>IF(VLOOKUP(BM61,Fundamentus!A:U,8,FALSE)&lt;0,"Risco elevado",IF(VLOOKUP(BM61,Fundamentus!A:U,8,FALSE)&lt;1,"Saudável",IF(VLOOKUP(BM61,Fundamentus!A:U,8,FALSE)&lt;3,"Estável",IF(VLOOKUP(BM61,Fundamentus!A:U,8,FALSE)&gt;3,"Alerta","n/a"))))</f>
        <v>Estável</v>
      </c>
      <c r="EO61" s="28" t="str">
        <f t="shared" si="23"/>
        <v>Ruim</v>
      </c>
      <c r="EP61" s="17" t="str">
        <f>IF(VLOOKUP(BM61,Fundamentus!A:U,12,FALSE)&lt;2,"Subvalorizada",IF(VLOOKUP(BM61,Fundamentus!A:U,12,FALSE)&lt;6,"Muita barata",IF(VLOOKUP(BM61,Fundamentus!A:U,12,FALSE)&lt;6,"Barata",IF(VLOOKUP(BM61,Fundamentus!A:U,12,FALSE)&lt;8,"Atrativa",IF(VLOOKUP(BM61,Fundamentus!A:U,12,FALSE)&gt;8,"Supervalorizada","n/a")))))</f>
        <v>Muita barata</v>
      </c>
      <c r="ER61" s="17" t="str">
        <f>IF(VLOOKUP(BM61,Fundamentus!A:U,17,FALSE)&lt;0.1,"Fraco retorno",IF(VLOOKUP(BM61,Fundamentus!A:U,17,FALSE)&gt;0.1,"Bom retorno","n/a"))</f>
        <v>Bom retorno</v>
      </c>
      <c r="ES61" s="17" t="str">
        <f>IF(VLOOKUP(BM61,Fundamentus!A:U,16,FALSE)&lt;0.1,"Ineficiente",IF(VLOOKUP(BM61,Fundamentus!A:U,16,FALSE)&gt;0.1,"Eficiente","n/a"))</f>
        <v>Eficiente</v>
      </c>
      <c r="ET61" s="33" t="str">
        <f>IF(VLOOKUP(BM61,Fundamentus!A:U,16,FALSE)&lt;0.1,"Oper. Ineficiente",IF(VLOOKUP(BM61,Fundamentus!A:U,16,FALSE)&gt;0.1,"Oper.Eficiente","n/a"))</f>
        <v>Oper.Eficiente</v>
      </c>
      <c r="EU61" s="34">
        <f>VLOOKUP(BM61,Fundamentus!A:U,14,FALSE)</f>
        <v>7.9000000000000001E-2</v>
      </c>
      <c r="EV61" s="17" t="str">
        <f>IF(VLOOKUP(BM61,Fundamentus!A:U,21,FALSE)&lt;0,"Negativo",IF(VLOOKUP(BM61,Fundamentus!A:U,21,FALSE)&lt;0.05,"Fraco",IF(VLOOKUP(BM61,Fundamentus!A:U,21,FALSE)&lt;0.1,"Bom",IF(VLOOKUP(BM61,Fundamentus!A:U,21,FALSE)&gt;0.1,"Muito bom","n/a"))))</f>
        <v>Muito bom</v>
      </c>
      <c r="EX61" s="29" t="str">
        <f>IF(VLOOKUP(BM61,Fundamentus!A:U,15,FALSE)&gt;1,"Bom",IF(VLOOKUP(BM61,Fundamentus!A:U,15,FALSE)&lt;1,"Ruim","n/a"))</f>
        <v>Bom</v>
      </c>
      <c r="EY61" s="17" t="str">
        <f>IF(VLOOKUP(BM61,Fundamentus!A:U,20,FALSE)&lt;0.5,"Baixa",IF(VLOOKUP(BM61,Fundamentus!A:U,20,FALSE)&lt;1,"Moderada",IF(VLOOKUP(BM61,Fundamentus!A:U,20,FALSE)&lt;2,"Alerta",IF(VLOOKUP(BM61,Fundamentus!A:U,20,FALSE)&gt;2,"Alta","n/a"))))</f>
        <v>Baixa</v>
      </c>
    </row>
    <row r="62" spans="1:155" s="2" customFormat="1" ht="11.25" x14ac:dyDescent="0.2">
      <c r="A62" s="4">
        <v>17.690000000000001</v>
      </c>
      <c r="B62" s="4">
        <v>16.899999999999999</v>
      </c>
      <c r="C62" s="4">
        <v>17.09</v>
      </c>
      <c r="D62" s="4">
        <v>16.96</v>
      </c>
      <c r="E62" s="4">
        <v>15.85</v>
      </c>
      <c r="F62" s="4">
        <v>15.84</v>
      </c>
      <c r="G62" s="4">
        <v>15.48</v>
      </c>
      <c r="H62" s="4">
        <v>15.18</v>
      </c>
      <c r="I62" s="4">
        <v>15.22</v>
      </c>
      <c r="J62" s="4">
        <v>15.71</v>
      </c>
      <c r="K62" s="4">
        <v>15.64</v>
      </c>
      <c r="L62" s="4">
        <v>16.420000000000002</v>
      </c>
      <c r="M62" s="4">
        <v>16.95</v>
      </c>
      <c r="N62" s="4">
        <v>17.149999999999999</v>
      </c>
      <c r="O62" s="4">
        <v>19.84</v>
      </c>
      <c r="P62" s="4">
        <v>21.23</v>
      </c>
      <c r="Q62" s="4">
        <v>22.17</v>
      </c>
      <c r="R62" s="4">
        <v>22.75</v>
      </c>
      <c r="S62" s="4">
        <v>22.89</v>
      </c>
      <c r="T62" s="4">
        <v>24.24</v>
      </c>
      <c r="U62" s="4">
        <v>23.5</v>
      </c>
      <c r="V62" s="4">
        <v>22.99</v>
      </c>
      <c r="W62" s="4">
        <v>23.19</v>
      </c>
      <c r="X62" s="4">
        <v>21.29</v>
      </c>
      <c r="Y62" s="4">
        <v>22.36</v>
      </c>
      <c r="Z62" s="4">
        <v>22.87</v>
      </c>
      <c r="AA62" s="4">
        <v>23.32</v>
      </c>
      <c r="AB62" s="4">
        <v>25.4</v>
      </c>
      <c r="AC62" s="4">
        <v>24.51</v>
      </c>
      <c r="AD62" s="4">
        <v>24.75</v>
      </c>
      <c r="AE62" s="4">
        <v>24.56</v>
      </c>
      <c r="AF62" s="4">
        <v>24.21</v>
      </c>
      <c r="AG62" s="4">
        <v>24.5</v>
      </c>
      <c r="AH62" s="4">
        <v>22.41</v>
      </c>
      <c r="AI62" s="4">
        <v>22.92</v>
      </c>
      <c r="AJ62" s="4">
        <v>25</v>
      </c>
      <c r="AK62" s="4">
        <v>22.83</v>
      </c>
      <c r="AL62" s="4">
        <v>22.85</v>
      </c>
      <c r="AM62" s="4">
        <v>23.33</v>
      </c>
      <c r="AN62" s="4">
        <v>23.84</v>
      </c>
      <c r="AO62" s="4">
        <v>23.9</v>
      </c>
      <c r="AP62" s="4">
        <v>24.92</v>
      </c>
      <c r="AQ62" s="4">
        <v>26</v>
      </c>
      <c r="AR62" s="4">
        <v>25.72</v>
      </c>
      <c r="AS62" s="4">
        <v>26.8</v>
      </c>
      <c r="AT62" s="4">
        <v>24.02</v>
      </c>
      <c r="AU62" s="4">
        <v>23.835000000000001</v>
      </c>
      <c r="AV62" s="4">
        <v>23.62</v>
      </c>
      <c r="AW62" s="4">
        <v>25.2</v>
      </c>
      <c r="AX62" s="4">
        <v>25.11</v>
      </c>
      <c r="AY62" s="12">
        <v>24.85</v>
      </c>
      <c r="AZ62" s="12">
        <v>24.5</v>
      </c>
      <c r="BA62" s="12">
        <v>24.75</v>
      </c>
      <c r="BB62" s="15">
        <v>23.88</v>
      </c>
      <c r="BC62" s="52">
        <v>26.17</v>
      </c>
      <c r="BD62" s="52">
        <v>27.1</v>
      </c>
      <c r="BE62" s="52">
        <v>26.96</v>
      </c>
      <c r="BF62" s="52">
        <v>25.93</v>
      </c>
      <c r="BG62" s="67">
        <v>25.39</v>
      </c>
      <c r="BH62" s="52">
        <v>25.56</v>
      </c>
      <c r="BI62" s="52">
        <v>25.13</v>
      </c>
      <c r="BJ62" s="52">
        <v>24.96</v>
      </c>
      <c r="BK62" s="52">
        <v>23.34</v>
      </c>
      <c r="BL62" s="52" cm="1">
        <f t="array" aca="1" ref="BL62" ca="1">_FV(EC62,"Preço")</f>
        <v>23.34</v>
      </c>
      <c r="BM62" s="69" t="s">
        <v>59</v>
      </c>
      <c r="BN62" s="36" cm="1">
        <f t="array" aca="1" ref="BN62" ca="1">_FV(EC62,"Média de volume",TRUE)</f>
        <v>190610</v>
      </c>
      <c r="BO62" s="36">
        <v>287600</v>
      </c>
      <c r="BP62" s="36" cm="1">
        <f t="array" aca="1" ref="BP62" ca="1">_FV(EC62,"Volume")</f>
        <v>287600</v>
      </c>
      <c r="BQ62" s="24" cm="1">
        <f t="array" aca="1" ref="BQ62" ca="1">_FV(EC62,"Beta")</f>
        <v>1.3549</v>
      </c>
      <c r="BR62" s="71" cm="1">
        <f t="array" aca="1" ref="BR62" ca="1">_FV(EC62,"Variação (%)",TRUE)</f>
        <v>-1.8089999999999998E-2</v>
      </c>
      <c r="BT62" s="17" cm="1">
        <f t="array" aca="1" ref="BT62" ca="1">_FV(EC62,"Baixo")</f>
        <v>23.17</v>
      </c>
      <c r="BU62" s="17" cm="1">
        <f t="array" aca="1" ref="BU62" ca="1">_FV(EC62,"Alto")</f>
        <v>23.86</v>
      </c>
      <c r="BV62" s="24"/>
      <c r="BW62" s="63">
        <f ca="1">SQRT(22.5*(BL62/VLOOKUP(BM62,Fundamentus!A:U,3,FALSE))*(BL62/VLOOKUP(BM62,Fundamentus!A:U,4,FALSE)))</f>
        <v>38.976584832965003</v>
      </c>
      <c r="BY62" s="62">
        <f t="shared" ca="1" si="24"/>
        <v>0</v>
      </c>
      <c r="BZ62" s="8"/>
      <c r="CA62" s="61">
        <f t="shared" si="25"/>
        <v>15.18</v>
      </c>
      <c r="CB62" s="61">
        <f t="shared" si="26"/>
        <v>27.1</v>
      </c>
      <c r="CC62" s="61">
        <f t="shared" si="27"/>
        <v>22.37261904761905</v>
      </c>
      <c r="CD62" s="14"/>
      <c r="CE62" s="35">
        <f t="shared" si="1"/>
        <v>22.755003667815686</v>
      </c>
      <c r="CF62" s="15">
        <f t="shared" si="28"/>
        <v>24.406000000000859</v>
      </c>
      <c r="CG62" s="35">
        <f t="shared" si="2"/>
        <v>26.056996332186031</v>
      </c>
      <c r="CI62" s="14"/>
      <c r="CJ62" s="17">
        <f t="shared" si="3"/>
        <v>5.806666666666672</v>
      </c>
      <c r="CK62" s="17">
        <f t="shared" si="4"/>
        <v>10.493333333333336</v>
      </c>
      <c r="CL62" s="17">
        <f t="shared" si="5"/>
        <v>17.726666666666674</v>
      </c>
      <c r="CM62" s="38">
        <f t="shared" si="29"/>
        <v>22.413333333333338</v>
      </c>
      <c r="CN62" s="17">
        <f t="shared" si="6"/>
        <v>29.646666666666675</v>
      </c>
      <c r="CO62" s="17">
        <f t="shared" si="7"/>
        <v>34.333333333333343</v>
      </c>
      <c r="CP62" s="17">
        <f t="shared" si="8"/>
        <v>41.566666666666677</v>
      </c>
      <c r="CQ62" s="2" cm="1">
        <f t="array" aca="1" ref="CQ62" ca="1">MAX(_xlfn._xlws.FILTER(CJ62:CP62,CJ62:CP62&lt;BL62))</f>
        <v>22.413333333333338</v>
      </c>
      <c r="CR62" s="2" cm="1">
        <f t="array" aca="1" ref="CR62" ca="1">MIN(_xlfn._xlws.FILTER($CJ62:$CP62,$CJ62:$CP62&gt;BL62))</f>
        <v>29.646666666666675</v>
      </c>
      <c r="CS62" s="16">
        <f t="shared" ca="1" si="80"/>
        <v>0.32272456870910182</v>
      </c>
      <c r="CT62" s="20">
        <f t="shared" ca="1" si="81"/>
        <v>-0.16136228435455091</v>
      </c>
      <c r="CU62" s="20">
        <f t="shared" ca="1" si="82"/>
        <v>-0.10757485623636727</v>
      </c>
      <c r="CV62" s="20">
        <f t="shared" ca="1" si="83"/>
        <v>-6.4544913741820364E-2</v>
      </c>
      <c r="CW62" s="20">
        <f t="shared" ca="1" si="84"/>
        <v>-3.5858285412122423E-2</v>
      </c>
      <c r="CX62" s="20">
        <f t="shared" ca="1" si="85"/>
        <v>-1.8983798159358932E-2</v>
      </c>
      <c r="CY62" s="20">
        <f t="shared" ca="1" si="86"/>
        <v>-9.7795323851242975E-3</v>
      </c>
      <c r="CZ62" s="20">
        <f t="shared" ca="1" si="87"/>
        <v>-4.9649933647554125E-3</v>
      </c>
      <c r="DA62" s="21">
        <f t="shared" ca="1" si="88"/>
        <v>4.9649933647554125E-3</v>
      </c>
      <c r="DB62" s="21">
        <f t="shared" ca="1" si="89"/>
        <v>9.7795323851242975E-3</v>
      </c>
      <c r="DC62" s="21">
        <f t="shared" ca="1" si="90"/>
        <v>1.8983798159358932E-2</v>
      </c>
      <c r="DD62" s="21">
        <f t="shared" ca="1" si="91"/>
        <v>3.5858285412122423E-2</v>
      </c>
      <c r="DE62" s="21">
        <f t="shared" ca="1" si="92"/>
        <v>6.4544913741820364E-2</v>
      </c>
      <c r="DF62" s="21">
        <f t="shared" ca="1" si="93"/>
        <v>0.10757485623636727</v>
      </c>
      <c r="DG62" s="21">
        <f t="shared" ca="1" si="94"/>
        <v>0.16136228435455091</v>
      </c>
      <c r="DI62" s="16" cm="1">
        <f t="array" aca="1" ref="DI62" ca="1">MAX(_xlfn._xlws.FILTER(CT62:DG62,CT62:DG62&lt;BR62))</f>
        <v>-1.8983798159358932E-2</v>
      </c>
      <c r="DJ62" s="16" cm="1">
        <f t="array" aca="1" ref="DJ62" ca="1">MIN(_xlfn._xlws.FILTER(CT62:DG62,CT62:DG62&gt;BR62))</f>
        <v>-9.7795323851242975E-3</v>
      </c>
      <c r="DK62" s="2" cm="1">
        <f t="array" aca="1" ref="DK62" ca="1">_FV(EC62,"Fechamento anterior",TRUE)</f>
        <v>23.77</v>
      </c>
      <c r="DL62" s="28">
        <f t="shared" ca="1" si="15"/>
        <v>9.7103748674417775E-2</v>
      </c>
      <c r="DM62" s="15">
        <f t="shared" ca="1" si="95"/>
        <v>23.318755117752037</v>
      </c>
      <c r="DN62" s="15">
        <f t="shared" ca="1" si="96"/>
        <v>23.537540515205595</v>
      </c>
      <c r="DO62" s="9"/>
      <c r="DP62" s="9"/>
      <c r="DQ62" s="9"/>
      <c r="DR62" s="89">
        <v>8.1766430912541023E-3</v>
      </c>
      <c r="DS62" s="89">
        <v>4.8787427537242811E-3</v>
      </c>
      <c r="DT62" s="89">
        <v>4.814539020368885E-3</v>
      </c>
      <c r="DU62" s="89">
        <v>9.2042657742346344E-3</v>
      </c>
      <c r="DV62" s="89">
        <f t="shared" ca="1" si="18"/>
        <v>9.2042657742346344E-3</v>
      </c>
      <c r="DW62" s="72">
        <f t="shared" ca="1" si="19"/>
        <v>-0.6456707257428953</v>
      </c>
      <c r="DX62" s="37"/>
      <c r="DY62" s="35">
        <f t="shared" si="39"/>
        <v>0.82549816609258553</v>
      </c>
      <c r="DZ62" s="56"/>
      <c r="EA62" s="56"/>
      <c r="EC62" s="2" t="e" vm="62">
        <v>#VALUE!</v>
      </c>
      <c r="EE62" s="10" cm="1">
        <f t="array" aca="1" ref="EE62" ca="1">_FV(EC62,"Ações em circulação",TRUE)</f>
        <v>81836380</v>
      </c>
      <c r="EF62" s="18">
        <f>VLOOKUP(BM62,Fundamentus!A:U,5,FALSE)</f>
        <v>0.95</v>
      </c>
      <c r="EG62" s="2">
        <f t="shared" ca="1" si="20"/>
        <v>2010590641.2631581</v>
      </c>
      <c r="EH62" s="17">
        <v>281683748.84096843</v>
      </c>
      <c r="EI62" s="17">
        <f t="shared" ca="1" si="21"/>
        <v>281683748.84096843</v>
      </c>
      <c r="EK62" s="16">
        <f t="shared" ca="1" si="22"/>
        <v>0</v>
      </c>
      <c r="EL62" s="32" t="str">
        <f>IF(VLOOKUP(BM62,Fundamentus!A:U,3,FALSE)&lt;15,"Bom",IF(VLOOKUP(BM62,Fundamentus!A:U,3,FALSE)&gt;15,"Ruim","n/a"))</f>
        <v>Bom</v>
      </c>
      <c r="EM62" s="28" t="str">
        <f>IF(VLOOKUP(BM62,Fundamentus!A:U,4,FALSE)&lt;1,"Baixo",IF(VLOOKUP(BM62,Fundamentus!A:U,4,FALSE)&lt;1.5,"Moderado",IF(VLOOKUP(BM62,Fundamentus!A:U,4,FALSE)&gt;1.5,"Alto","n/a")))</f>
        <v>Moderado</v>
      </c>
      <c r="EN62" s="17" t="str">
        <f>IF(VLOOKUP(BM62,Fundamentus!A:U,8,FALSE)&lt;0,"Risco elevado",IF(VLOOKUP(BM62,Fundamentus!A:U,8,FALSE)&lt;1,"Saudável",IF(VLOOKUP(BM62,Fundamentus!A:U,8,FALSE)&lt;3,"Estável",IF(VLOOKUP(BM62,Fundamentus!A:U,8,FALSE)&gt;3,"Alerta","n/a"))))</f>
        <v>Estável</v>
      </c>
      <c r="EO62" s="28" t="str">
        <f t="shared" si="23"/>
        <v>Ruim</v>
      </c>
      <c r="EP62" s="17" t="str">
        <f>IF(VLOOKUP(BM62,Fundamentus!A:U,12,FALSE)&lt;2,"Subvalorizada",IF(VLOOKUP(BM62,Fundamentus!A:U,12,FALSE)&lt;6,"Muita barata",IF(VLOOKUP(BM62,Fundamentus!A:U,12,FALSE)&lt;6,"Barata",IF(VLOOKUP(BM62,Fundamentus!A:U,12,FALSE)&lt;8,"Atrativa",IF(VLOOKUP(BM62,Fundamentus!A:U,12,FALSE)&gt;8,"Supervalorizada","n/a")))))</f>
        <v>Muita barata</v>
      </c>
      <c r="ER62" s="17" t="str">
        <f>IF(VLOOKUP(BM62,Fundamentus!A:U,17,FALSE)&lt;0.1,"Fraco retorno",IF(VLOOKUP(BM62,Fundamentus!A:U,17,FALSE)&gt;0.1,"Bom retorno","n/a"))</f>
        <v>Bom retorno</v>
      </c>
      <c r="ES62" s="17" t="str">
        <f>IF(VLOOKUP(BM62,Fundamentus!A:U,16,FALSE)&lt;0.1,"Ineficiente",IF(VLOOKUP(BM62,Fundamentus!A:U,16,FALSE)&gt;0.1,"Eficiente","n/a"))</f>
        <v>Eficiente</v>
      </c>
      <c r="ET62" s="33" t="str">
        <f>IF(VLOOKUP(BM62,Fundamentus!A:U,16,FALSE)&lt;0.1,"Oper. Ineficiente",IF(VLOOKUP(BM62,Fundamentus!A:U,16,FALSE)&gt;0.1,"Oper.Eficiente","n/a"))</f>
        <v>Oper.Eficiente</v>
      </c>
      <c r="EU62" s="34">
        <f>VLOOKUP(BM62,Fundamentus!A:U,14,FALSE)</f>
        <v>0.1401</v>
      </c>
      <c r="EV62" s="17" t="str">
        <f>IF(VLOOKUP(BM62,Fundamentus!A:U,21,FALSE)&lt;0,"Negativo",IF(VLOOKUP(BM62,Fundamentus!A:U,21,FALSE)&lt;0.05,"Fraco",IF(VLOOKUP(BM62,Fundamentus!A:U,21,FALSE)&lt;0.1,"Bom",IF(VLOOKUP(BM62,Fundamentus!A:U,21,FALSE)&gt;0.1,"Muito bom","n/a"))))</f>
        <v>Fraco</v>
      </c>
      <c r="EX62" s="29" t="str">
        <f>IF(VLOOKUP(BM62,Fundamentus!A:U,15,FALSE)&gt;1,"Bom",IF(VLOOKUP(BM62,Fundamentus!A:U,15,FALSE)&lt;1,"Ruim","n/a"))</f>
        <v>Bom</v>
      </c>
      <c r="EY62" s="17" t="str">
        <f>IF(VLOOKUP(BM62,Fundamentus!A:U,20,FALSE)&lt;0.5,"Baixa",IF(VLOOKUP(BM62,Fundamentus!A:U,20,FALSE)&lt;1,"Moderada",IF(VLOOKUP(BM62,Fundamentus!A:U,20,FALSE)&lt;2,"Alerta",IF(VLOOKUP(BM62,Fundamentus!A:U,20,FALSE)&gt;2,"Alta","n/a"))))</f>
        <v>Baixa</v>
      </c>
    </row>
    <row r="63" spans="1:155" s="2" customFormat="1" ht="11.25" x14ac:dyDescent="0.2">
      <c r="A63" s="4">
        <v>2.69</v>
      </c>
      <c r="B63" s="4">
        <v>2.59</v>
      </c>
      <c r="C63" s="4">
        <v>2.56</v>
      </c>
      <c r="D63" s="4">
        <v>2.5299999999999998</v>
      </c>
      <c r="E63" s="4">
        <v>2.5299999999999998</v>
      </c>
      <c r="F63" s="4">
        <v>2.4900000000000002</v>
      </c>
      <c r="G63" s="4">
        <v>2.62</v>
      </c>
      <c r="H63" s="4">
        <v>2.81</v>
      </c>
      <c r="I63" s="4">
        <v>2.5499999999999998</v>
      </c>
      <c r="J63" s="4">
        <v>2.57</v>
      </c>
      <c r="K63" s="4">
        <v>2.93</v>
      </c>
      <c r="L63" s="4">
        <v>2.72</v>
      </c>
      <c r="M63" s="4">
        <v>2.62</v>
      </c>
      <c r="N63" s="4">
        <v>2.7</v>
      </c>
      <c r="O63" s="4">
        <v>2.36</v>
      </c>
      <c r="P63" s="4">
        <v>2.4</v>
      </c>
      <c r="Q63" s="4">
        <v>2.37</v>
      </c>
      <c r="R63" s="4">
        <v>2.37</v>
      </c>
      <c r="S63" s="4">
        <v>2.34</v>
      </c>
      <c r="T63" s="4">
        <v>2.41</v>
      </c>
      <c r="U63" s="4">
        <v>2.5</v>
      </c>
      <c r="V63" s="4">
        <v>2.7</v>
      </c>
      <c r="W63" s="4">
        <v>2.61</v>
      </c>
      <c r="X63" s="4">
        <v>2.5099999999999998</v>
      </c>
      <c r="Y63" s="4">
        <v>2.59</v>
      </c>
      <c r="Z63" s="4">
        <v>2.52</v>
      </c>
      <c r="AA63" s="4">
        <v>2.5</v>
      </c>
      <c r="AB63" s="4">
        <v>2.4300000000000002</v>
      </c>
      <c r="AC63" s="4">
        <v>2.44</v>
      </c>
      <c r="AD63" s="4">
        <v>2.29</v>
      </c>
      <c r="AE63" s="4">
        <v>2.39</v>
      </c>
      <c r="AF63" s="4">
        <v>2.2799999999999998</v>
      </c>
      <c r="AG63" s="4">
        <v>2.25</v>
      </c>
      <c r="AH63" s="4">
        <v>1.91</v>
      </c>
      <c r="AI63" s="4">
        <v>1.86</v>
      </c>
      <c r="AJ63" s="4">
        <v>1.75</v>
      </c>
      <c r="AK63" s="4">
        <v>1.89</v>
      </c>
      <c r="AL63" s="4">
        <v>2.35</v>
      </c>
      <c r="AM63" s="4">
        <v>2.2000000000000002</v>
      </c>
      <c r="AN63" s="4">
        <v>2.29</v>
      </c>
      <c r="AO63" s="4">
        <v>2.37</v>
      </c>
      <c r="AP63" s="4">
        <v>2.2999999999999998</v>
      </c>
      <c r="AQ63" s="4">
        <v>2.2000000000000002</v>
      </c>
      <c r="AR63" s="4">
        <v>2.14</v>
      </c>
      <c r="AS63" s="4">
        <v>2.23</v>
      </c>
      <c r="AT63" s="4">
        <v>2.2000000000000002</v>
      </c>
      <c r="AU63" s="4">
        <v>2.29</v>
      </c>
      <c r="AV63" s="4">
        <v>2.27</v>
      </c>
      <c r="AW63" s="4">
        <v>2.2599999999999998</v>
      </c>
      <c r="AX63" s="4">
        <v>2.2000000000000002</v>
      </c>
      <c r="AY63" s="12">
        <v>2.17</v>
      </c>
      <c r="AZ63" s="12">
        <v>2.04</v>
      </c>
      <c r="BA63" s="12">
        <v>2.04</v>
      </c>
      <c r="BB63" s="15">
        <v>1.98</v>
      </c>
      <c r="BC63" s="52">
        <v>2</v>
      </c>
      <c r="BD63" s="52">
        <v>1.98</v>
      </c>
      <c r="BE63" s="52">
        <v>1.96</v>
      </c>
      <c r="BF63" s="52">
        <v>2.0299999999999998</v>
      </c>
      <c r="BG63" s="67">
        <v>1.96</v>
      </c>
      <c r="BH63" s="52">
        <v>1.93</v>
      </c>
      <c r="BI63" s="52">
        <v>1.94</v>
      </c>
      <c r="BJ63" s="52">
        <v>1.95</v>
      </c>
      <c r="BK63" s="52">
        <v>1.98</v>
      </c>
      <c r="BL63" s="52" cm="1">
        <f t="array" aca="1" ref="BL63" ca="1">_FV(EC63,"Preço")</f>
        <v>1.98</v>
      </c>
      <c r="BM63" s="69" t="s">
        <v>60</v>
      </c>
      <c r="BN63" s="36" cm="1">
        <f t="array" aca="1" ref="BN63" ca="1">_FV(EC63,"Média de volume",TRUE)</f>
        <v>3320</v>
      </c>
      <c r="BO63" s="36">
        <v>100</v>
      </c>
      <c r="BP63" s="36" cm="1">
        <f t="array" aca="1" ref="BP63" ca="1">_FV(EC63,"Volume")</f>
        <v>100</v>
      </c>
      <c r="BQ63" s="24" cm="1">
        <f t="array" aca="1" ref="BQ63" ca="1">_FV(EC63,"Beta")</f>
        <v>1.0128999999999999</v>
      </c>
      <c r="BR63" s="71" cm="1">
        <f t="array" aca="1" ref="BR63" ca="1">_FV(EC63,"Variação (%)",TRUE)</f>
        <v>1.5384999999999999E-2</v>
      </c>
      <c r="BT63" s="17" cm="1">
        <f t="array" aca="1" ref="BT63" ca="1">_FV(EC63,"Baixo")</f>
        <v>1.98</v>
      </c>
      <c r="BU63" s="17" cm="1">
        <f t="array" aca="1" ref="BU63" ca="1">_FV(EC63,"Alto")</f>
        <v>1.98</v>
      </c>
      <c r="BV63" s="24"/>
      <c r="BW63" s="63" t="e">
        <f ca="1">SQRT(22.5*(BL63/VLOOKUP(BM63,Fundamentus!A:U,3,FALSE))*(BL63/VLOOKUP(BM63,Fundamentus!A:U,4,FALSE)))</f>
        <v>#NUM!</v>
      </c>
      <c r="BY63" s="62">
        <f t="shared" ca="1" si="24"/>
        <v>0</v>
      </c>
      <c r="BZ63" s="8"/>
      <c r="CA63" s="61">
        <f t="shared" si="25"/>
        <v>1.75</v>
      </c>
      <c r="CB63" s="61">
        <f t="shared" si="26"/>
        <v>2.93</v>
      </c>
      <c r="CC63" s="61">
        <f t="shared" si="27"/>
        <v>2.314920634920635</v>
      </c>
      <c r="CD63" s="14"/>
      <c r="CE63" s="35">
        <f t="shared" si="1"/>
        <v>1.8919192413280017</v>
      </c>
      <c r="CF63" s="15">
        <f t="shared" si="28"/>
        <v>1.9579999999999984</v>
      </c>
      <c r="CG63" s="35">
        <f t="shared" si="2"/>
        <v>2.0240807586719951</v>
      </c>
      <c r="CI63" s="14"/>
      <c r="CJ63" s="17">
        <f t="shared" si="3"/>
        <v>0.30999999999999961</v>
      </c>
      <c r="CK63" s="17">
        <f t="shared" si="4"/>
        <v>1.0299999999999998</v>
      </c>
      <c r="CL63" s="17">
        <f t="shared" si="5"/>
        <v>1.4899999999999998</v>
      </c>
      <c r="CM63" s="38">
        <f t="shared" si="29"/>
        <v>2.21</v>
      </c>
      <c r="CN63" s="17">
        <f t="shared" si="6"/>
        <v>2.67</v>
      </c>
      <c r="CO63" s="17">
        <f t="shared" si="7"/>
        <v>3.39</v>
      </c>
      <c r="CP63" s="17">
        <f t="shared" si="8"/>
        <v>3.85</v>
      </c>
      <c r="CQ63" s="2" cm="1">
        <f t="array" aca="1" ref="CQ63" ca="1">MAX(_xlfn._xlws.FILTER(CJ63:CP63,CJ63:CP63&lt;BL63))</f>
        <v>1.4899999999999998</v>
      </c>
      <c r="CR63" s="2" cm="1">
        <f t="array" aca="1" ref="CR63" ca="1">MIN(_xlfn._xlws.FILTER($CJ63:$CP63,$CJ63:$CP63&gt;BL63))</f>
        <v>2.21</v>
      </c>
      <c r="CS63" s="16">
        <f t="shared" ca="1" si="80"/>
        <v>0.4832214765100673</v>
      </c>
      <c r="CT63" s="20">
        <f t="shared" ca="1" si="81"/>
        <v>-0.24161073825503365</v>
      </c>
      <c r="CU63" s="20">
        <f t="shared" ca="1" si="82"/>
        <v>-0.16107382550335578</v>
      </c>
      <c r="CV63" s="20">
        <f t="shared" ca="1" si="83"/>
        <v>-9.6644295302013461E-2</v>
      </c>
      <c r="CW63" s="20">
        <f t="shared" ca="1" si="84"/>
        <v>-5.3691275167785255E-2</v>
      </c>
      <c r="CX63" s="20">
        <f t="shared" ca="1" si="85"/>
        <v>-2.8424792735886311E-2</v>
      </c>
      <c r="CY63" s="20">
        <f t="shared" ca="1" si="86"/>
        <v>-1.4643075045759615E-2</v>
      </c>
      <c r="CZ63" s="20">
        <f t="shared" ca="1" si="87"/>
        <v>-7.4341765616933436E-3</v>
      </c>
      <c r="DA63" s="21">
        <f t="shared" ca="1" si="88"/>
        <v>7.4341765616933436E-3</v>
      </c>
      <c r="DB63" s="21">
        <f t="shared" ca="1" si="89"/>
        <v>1.4643075045759615E-2</v>
      </c>
      <c r="DC63" s="21">
        <f t="shared" ca="1" si="90"/>
        <v>2.8424792735886311E-2</v>
      </c>
      <c r="DD63" s="21">
        <f t="shared" ca="1" si="91"/>
        <v>5.3691275167785255E-2</v>
      </c>
      <c r="DE63" s="21">
        <f t="shared" ca="1" si="92"/>
        <v>9.6644295302013461E-2</v>
      </c>
      <c r="DF63" s="21">
        <f t="shared" ca="1" si="93"/>
        <v>0.16107382550335578</v>
      </c>
      <c r="DG63" s="21">
        <f t="shared" ca="1" si="94"/>
        <v>0.24161073825503365</v>
      </c>
      <c r="DI63" s="16" cm="1">
        <f t="array" aca="1" ref="DI63" ca="1">MAX(_xlfn._xlws.FILTER(CT63:DG63,CT63:DG63&lt;BR63))</f>
        <v>1.4643075045759615E-2</v>
      </c>
      <c r="DJ63" s="16" cm="1">
        <f t="array" aca="1" ref="DJ63" ca="1">MIN(_xlfn._xlws.FILTER(CT63:DG63,CT63:DG63&gt;BR63))</f>
        <v>2.8424792735886311E-2</v>
      </c>
      <c r="DK63" s="2" cm="1">
        <f t="array" aca="1" ref="DK63" ca="1">_FV(EC63,"Fechamento anterior",TRUE)</f>
        <v>1.95</v>
      </c>
      <c r="DL63" s="28">
        <f t="shared" ca="1" si="15"/>
        <v>5.3806089743593265E-2</v>
      </c>
      <c r="DM63" s="15">
        <f t="shared" ca="1" si="95"/>
        <v>1.9785539963392311</v>
      </c>
      <c r="DN63" s="15">
        <f t="shared" ca="1" si="96"/>
        <v>2.0054283458349782</v>
      </c>
      <c r="DO63" s="9"/>
      <c r="DP63" s="9"/>
      <c r="DQ63" s="9"/>
      <c r="DR63" s="89">
        <v>2.1213818860877705E-2</v>
      </c>
      <c r="DS63" s="89">
        <v>1.3656809150062135E-2</v>
      </c>
      <c r="DT63" s="89">
        <v>1.3781717690126696E-2</v>
      </c>
      <c r="DU63" s="89">
        <v>1.3781717690126696E-2</v>
      </c>
      <c r="DV63" s="89">
        <f t="shared" ca="1" si="18"/>
        <v>1.3781717690126696E-2</v>
      </c>
      <c r="DW63" s="72">
        <f t="shared" ca="1" si="19"/>
        <v>0.33292595972153388</v>
      </c>
      <c r="DX63" s="37"/>
      <c r="DY63" s="35">
        <f t="shared" si="39"/>
        <v>3.3040379335998307E-2</v>
      </c>
      <c r="DZ63" s="56"/>
      <c r="EA63" s="56"/>
      <c r="EC63" s="2" t="e" vm="63">
        <v>#VALUE!</v>
      </c>
      <c r="EE63" s="10" cm="1">
        <f t="array" aca="1" ref="EE63" ca="1">_FV(EC63,"Ações em circulação",TRUE)</f>
        <v>11900000</v>
      </c>
      <c r="EF63" s="18">
        <f>VLOOKUP(BM63,Fundamentus!A:U,5,FALSE)</f>
        <v>0.76800000000000002</v>
      </c>
      <c r="EG63" s="2">
        <f t="shared" ca="1" si="20"/>
        <v>30679687.5</v>
      </c>
      <c r="EH63" s="17">
        <v>2003383.59375</v>
      </c>
      <c r="EI63" s="17">
        <f t="shared" ca="1" si="21"/>
        <v>2003383.59375</v>
      </c>
      <c r="EK63" s="16">
        <f t="shared" ca="1" si="22"/>
        <v>0</v>
      </c>
      <c r="EL63" s="32" t="str">
        <f>IF(VLOOKUP(BM63,Fundamentus!A:U,3,FALSE)&lt;15,"Bom",IF(VLOOKUP(BM63,Fundamentus!A:U,3,FALSE)&gt;15,"Ruim","n/a"))</f>
        <v>Bom</v>
      </c>
      <c r="EM63" s="28" t="str">
        <f>IF(VLOOKUP(BM63,Fundamentus!A:U,4,FALSE)&lt;1,"Baixo",IF(VLOOKUP(BM63,Fundamentus!A:U,4,FALSE)&lt;1.5,"Moderado",IF(VLOOKUP(BM63,Fundamentus!A:U,4,FALSE)&gt;1.5,"Alto","n/a")))</f>
        <v>Baixo</v>
      </c>
      <c r="EN63" s="17" t="str">
        <f>IF(VLOOKUP(BM63,Fundamentus!A:U,8,FALSE)&lt;0,"Risco elevado",IF(VLOOKUP(BM63,Fundamentus!A:U,8,FALSE)&lt;1,"Saudável",IF(VLOOKUP(BM63,Fundamentus!A:U,8,FALSE)&lt;3,"Estável",IF(VLOOKUP(BM63,Fundamentus!A:U,8,FALSE)&gt;3,"Alerta","n/a"))))</f>
        <v>Saudável</v>
      </c>
      <c r="EO63" s="28" t="str">
        <f t="shared" si="23"/>
        <v>Ruim</v>
      </c>
      <c r="EP63" s="17" t="str">
        <f>IF(VLOOKUP(BM63,Fundamentus!A:U,12,FALSE)&lt;2,"Subvalorizada",IF(VLOOKUP(BM63,Fundamentus!A:U,12,FALSE)&lt;6,"Muita barata",IF(VLOOKUP(BM63,Fundamentus!A:U,12,FALSE)&lt;6,"Barata",IF(VLOOKUP(BM63,Fundamentus!A:U,12,FALSE)&lt;8,"Atrativa",IF(VLOOKUP(BM63,Fundamentus!A:U,12,FALSE)&gt;8,"Supervalorizada","n/a")))))</f>
        <v>Supervalorizada</v>
      </c>
      <c r="ER63" s="17" t="str">
        <f>IF(VLOOKUP(BM63,Fundamentus!A:U,17,FALSE)&lt;0.1,"Fraco retorno",IF(VLOOKUP(BM63,Fundamentus!A:U,17,FALSE)&gt;0.1,"Bom retorno","n/a"))</f>
        <v>Fraco retorno</v>
      </c>
      <c r="ES63" s="17" t="str">
        <f>IF(VLOOKUP(BM63,Fundamentus!A:U,16,FALSE)&lt;0.1,"Ineficiente",IF(VLOOKUP(BM63,Fundamentus!A:U,16,FALSE)&gt;0.1,"Eficiente","n/a"))</f>
        <v>Ineficiente</v>
      </c>
      <c r="ET63" s="33" t="str">
        <f>IF(VLOOKUP(BM63,Fundamentus!A:U,16,FALSE)&lt;0.1,"Oper. Ineficiente",IF(VLOOKUP(BM63,Fundamentus!A:U,16,FALSE)&gt;0.1,"Oper.Eficiente","n/a"))</f>
        <v>Oper. Ineficiente</v>
      </c>
      <c r="EU63" s="34">
        <f>VLOOKUP(BM63,Fundamentus!A:U,14,FALSE)</f>
        <v>6.5299999999999997E-2</v>
      </c>
      <c r="EV63" s="17" t="str">
        <f>IF(VLOOKUP(BM63,Fundamentus!A:U,21,FALSE)&lt;0,"Negativo",IF(VLOOKUP(BM63,Fundamentus!A:U,21,FALSE)&lt;0.05,"Fraco",IF(VLOOKUP(BM63,Fundamentus!A:U,21,FALSE)&lt;0.1,"Bom",IF(VLOOKUP(BM63,Fundamentus!A:U,21,FALSE)&gt;0.1,"Muito bom","n/a"))))</f>
        <v>Negativo</v>
      </c>
      <c r="EX63" s="29" t="str">
        <f>IF(VLOOKUP(BM63,Fundamentus!A:U,15,FALSE)&gt;1,"Bom",IF(VLOOKUP(BM63,Fundamentus!A:U,15,FALSE)&lt;1,"Ruim","n/a"))</f>
        <v>Bom</v>
      </c>
      <c r="EY63" s="17" t="str">
        <f>IF(VLOOKUP(BM63,Fundamentus!A:U,20,FALSE)&lt;0.5,"Baixa",IF(VLOOKUP(BM63,Fundamentus!A:U,20,FALSE)&lt;1,"Moderada",IF(VLOOKUP(BM63,Fundamentus!A:U,20,FALSE)&lt;2,"Alerta",IF(VLOOKUP(BM63,Fundamentus!A:U,20,FALSE)&gt;2,"Alta","n/a"))))</f>
        <v>Baixa</v>
      </c>
    </row>
    <row r="64" spans="1:155" s="2" customFormat="1" ht="11.25" x14ac:dyDescent="0.2">
      <c r="A64" s="4">
        <v>33.25</v>
      </c>
      <c r="B64" s="4">
        <v>31.08</v>
      </c>
      <c r="C64" s="4">
        <v>31.5</v>
      </c>
      <c r="D64" s="4">
        <v>27.32</v>
      </c>
      <c r="E64" s="4">
        <v>28.19</v>
      </c>
      <c r="F64" s="4">
        <v>26.26</v>
      </c>
      <c r="G64" s="4">
        <v>25.9</v>
      </c>
      <c r="H64" s="4">
        <v>25.61</v>
      </c>
      <c r="I64" s="4">
        <v>27.52</v>
      </c>
      <c r="J64" s="4">
        <v>28.6</v>
      </c>
      <c r="K64" s="4">
        <v>27.6</v>
      </c>
      <c r="L64" s="4">
        <v>27.14</v>
      </c>
      <c r="M64" s="4">
        <v>25.68</v>
      </c>
      <c r="N64" s="4">
        <v>26.64</v>
      </c>
      <c r="O64" s="4">
        <v>29.48</v>
      </c>
      <c r="P64" s="4">
        <v>28.33</v>
      </c>
      <c r="Q64" s="4">
        <v>27.72</v>
      </c>
      <c r="R64" s="4">
        <v>26.37</v>
      </c>
      <c r="S64" s="4">
        <v>22.87</v>
      </c>
      <c r="T64" s="4">
        <v>22.07</v>
      </c>
      <c r="U64" s="4">
        <v>18.18</v>
      </c>
      <c r="V64" s="4">
        <v>17.78</v>
      </c>
      <c r="W64" s="4">
        <v>17.96</v>
      </c>
      <c r="X64" s="4">
        <v>17.440000000000001</v>
      </c>
      <c r="Y64" s="4">
        <v>17.25</v>
      </c>
      <c r="Z64" s="4">
        <v>17.03</v>
      </c>
      <c r="AA64" s="4">
        <v>16.600000000000001</v>
      </c>
      <c r="AB64" s="4">
        <v>16.18</v>
      </c>
      <c r="AC64" s="4">
        <v>16.649999999999999</v>
      </c>
      <c r="AD64" s="4">
        <v>19.34</v>
      </c>
      <c r="AE64" s="4">
        <v>19.88</v>
      </c>
      <c r="AF64" s="4">
        <v>21.25</v>
      </c>
      <c r="AG64" s="4">
        <v>20.14</v>
      </c>
      <c r="AH64" s="4">
        <v>19.13</v>
      </c>
      <c r="AI64" s="4">
        <v>22.57</v>
      </c>
      <c r="AJ64" s="4">
        <v>23.2</v>
      </c>
      <c r="AK64" s="4">
        <v>24.92</v>
      </c>
      <c r="AL64" s="4">
        <v>25.34</v>
      </c>
      <c r="AM64" s="4">
        <v>22.66</v>
      </c>
      <c r="AN64" s="4">
        <v>22.43</v>
      </c>
      <c r="AO64" s="4">
        <v>20.76</v>
      </c>
      <c r="AP64" s="4">
        <v>20.399999999999999</v>
      </c>
      <c r="AQ64" s="4">
        <v>19.170000000000002</v>
      </c>
      <c r="AR64" s="4">
        <v>18.010000000000002</v>
      </c>
      <c r="AS64" s="4">
        <v>17.82</v>
      </c>
      <c r="AT64" s="4">
        <v>17.71</v>
      </c>
      <c r="AU64" s="4">
        <v>19.3</v>
      </c>
      <c r="AV64" s="4">
        <v>23.1</v>
      </c>
      <c r="AW64" s="4">
        <v>18.34</v>
      </c>
      <c r="AX64" s="4">
        <v>17.260000000000002</v>
      </c>
      <c r="AY64" s="12">
        <v>18.309999999999999</v>
      </c>
      <c r="AZ64" s="12">
        <v>18.510000000000002</v>
      </c>
      <c r="BA64" s="12">
        <v>17.36</v>
      </c>
      <c r="BB64" s="15">
        <v>19.66</v>
      </c>
      <c r="BC64" s="52">
        <v>19.27</v>
      </c>
      <c r="BD64" s="52">
        <v>18.2</v>
      </c>
      <c r="BE64" s="52">
        <v>18.899999999999999</v>
      </c>
      <c r="BF64" s="52">
        <v>19.649999999999999</v>
      </c>
      <c r="BG64" s="67">
        <v>20.78</v>
      </c>
      <c r="BH64" s="52">
        <v>20.32</v>
      </c>
      <c r="BI64" s="52">
        <v>17.2</v>
      </c>
      <c r="BJ64" s="52">
        <v>17.989999999999998</v>
      </c>
      <c r="BK64" s="52">
        <v>17.79</v>
      </c>
      <c r="BL64" s="52" cm="1">
        <f t="array" aca="1" ref="BL64" ca="1">_FV(EC64,"Preço")</f>
        <v>17.79</v>
      </c>
      <c r="BM64" s="69" t="s">
        <v>61</v>
      </c>
      <c r="BN64" s="36" cm="1">
        <f t="array" aca="1" ref="BN64" ca="1">_FV(EC64,"Média de volume",TRUE)</f>
        <v>6785070</v>
      </c>
      <c r="BO64" s="36">
        <v>9266900</v>
      </c>
      <c r="BP64" s="36" cm="1">
        <f t="array" aca="1" ref="BP64" ca="1">_FV(EC64,"Volume")</f>
        <v>9266900</v>
      </c>
      <c r="BQ64" s="24" cm="1">
        <f t="array" aca="1" ref="BQ64" ca="1">_FV(EC64,"Beta")</f>
        <v>1.2716000000000001</v>
      </c>
      <c r="BR64" s="71" cm="1">
        <f t="array" aca="1" ref="BR64" ca="1">_FV(EC64,"Variação (%)",TRUE)</f>
        <v>2.2539999999999999E-3</v>
      </c>
      <c r="BT64" s="17" cm="1">
        <f t="array" aca="1" ref="BT64" ca="1">_FV(EC64,"Baixo")</f>
        <v>17.62</v>
      </c>
      <c r="BU64" s="17" cm="1">
        <f t="array" aca="1" ref="BU64" ca="1">_FV(EC64,"Alto")</f>
        <v>17.96</v>
      </c>
      <c r="BV64" s="24"/>
      <c r="BW64" s="63">
        <f ca="1">SQRT(22.5*(BL64/VLOOKUP(BM64,Fundamentus!A:U,3,FALSE))*(BL64/VLOOKUP(BM64,Fundamentus!A:U,4,FALSE)))</f>
        <v>11.538721813984788</v>
      </c>
      <c r="BY64" s="62">
        <f t="shared" ca="1" si="24"/>
        <v>0</v>
      </c>
      <c r="BZ64" s="8"/>
      <c r="CA64" s="61">
        <f t="shared" si="25"/>
        <v>16.18</v>
      </c>
      <c r="CB64" s="61">
        <f t="shared" si="26"/>
        <v>33.25</v>
      </c>
      <c r="CC64" s="61">
        <f t="shared" si="27"/>
        <v>21.918571428571425</v>
      </c>
      <c r="CD64" s="14"/>
      <c r="CE64" s="35">
        <f t="shared" si="1"/>
        <v>15.271410740980048</v>
      </c>
      <c r="CF64" s="15">
        <f t="shared" si="28"/>
        <v>17.984999999999673</v>
      </c>
      <c r="CG64" s="35">
        <f t="shared" si="2"/>
        <v>20.698589259019297</v>
      </c>
      <c r="CI64" s="14"/>
      <c r="CJ64" s="17">
        <f t="shared" si="3"/>
        <v>-5.3733333333333348</v>
      </c>
      <c r="CK64" s="17">
        <f t="shared" si="4"/>
        <v>5.4033333333333324</v>
      </c>
      <c r="CL64" s="17">
        <f t="shared" si="5"/>
        <v>11.696666666666665</v>
      </c>
      <c r="CM64" s="38">
        <f t="shared" si="29"/>
        <v>22.473333333333333</v>
      </c>
      <c r="CN64" s="17">
        <f t="shared" si="6"/>
        <v>28.766666666666666</v>
      </c>
      <c r="CO64" s="17">
        <f t="shared" si="7"/>
        <v>39.543333333333337</v>
      </c>
      <c r="CP64" s="17">
        <f t="shared" si="8"/>
        <v>45.836666666666666</v>
      </c>
      <c r="CQ64" s="2" cm="1">
        <f t="array" aca="1" ref="CQ64" ca="1">MAX(_xlfn._xlws.FILTER(CJ64:CP64,CJ64:CP64&lt;BL64))</f>
        <v>11.696666666666665</v>
      </c>
      <c r="CR64" s="2" cm="1">
        <f t="array" aca="1" ref="CR64" ca="1">MIN(_xlfn._xlws.FILTER($CJ64:$CP64,$CJ64:$CP64&gt;BL64))</f>
        <v>22.473333333333333</v>
      </c>
      <c r="CS64" s="16">
        <f t="shared" ca="1" si="80"/>
        <v>0.92134511256768326</v>
      </c>
      <c r="CT64" s="20">
        <f t="shared" ca="1" si="81"/>
        <v>-0.46067255628384163</v>
      </c>
      <c r="CU64" s="20">
        <f t="shared" ca="1" si="82"/>
        <v>-0.30711503752256109</v>
      </c>
      <c r="CV64" s="20">
        <f t="shared" ca="1" si="83"/>
        <v>-0.18426902251353666</v>
      </c>
      <c r="CW64" s="20">
        <f t="shared" ca="1" si="84"/>
        <v>-0.10237167917418703</v>
      </c>
      <c r="CX64" s="20">
        <f t="shared" ca="1" si="85"/>
        <v>-5.419677132751078E-2</v>
      </c>
      <c r="CY64" s="20">
        <f t="shared" ca="1" si="86"/>
        <v>-2.7919548865687371E-2</v>
      </c>
      <c r="CZ64" s="20">
        <f t="shared" ca="1" si="87"/>
        <v>-1.4174540193348973E-2</v>
      </c>
      <c r="DA64" s="21">
        <f t="shared" ca="1" si="88"/>
        <v>1.4174540193348973E-2</v>
      </c>
      <c r="DB64" s="21">
        <f t="shared" ca="1" si="89"/>
        <v>2.7919548865687371E-2</v>
      </c>
      <c r="DC64" s="21">
        <f t="shared" ca="1" si="90"/>
        <v>5.419677132751078E-2</v>
      </c>
      <c r="DD64" s="21">
        <f t="shared" ca="1" si="91"/>
        <v>0.10237167917418703</v>
      </c>
      <c r="DE64" s="21">
        <f t="shared" ca="1" si="92"/>
        <v>0.18426902251353666</v>
      </c>
      <c r="DF64" s="21">
        <f t="shared" ca="1" si="93"/>
        <v>0.30711503752256109</v>
      </c>
      <c r="DG64" s="21">
        <f t="shared" ca="1" si="94"/>
        <v>0.46067255628384163</v>
      </c>
      <c r="DI64" s="16" cm="1">
        <f t="array" aca="1" ref="DI64" ca="1">MAX(_xlfn._xlws.FILTER(CT64:DG64,CT64:DG64&lt;BR64))</f>
        <v>-1.4174540193348973E-2</v>
      </c>
      <c r="DJ64" s="16" cm="1">
        <f t="array" aca="1" ref="DJ64" ca="1">MIN(_xlfn._xlws.FILTER(CT64:DG64,CT64:DG64&gt;BR64))</f>
        <v>1.4174540193348973E-2</v>
      </c>
      <c r="DK64" s="2" cm="1">
        <f t="array" aca="1" ref="DK64" ca="1">_FV(EC64,"Fechamento anterior",TRUE)</f>
        <v>17.75</v>
      </c>
      <c r="DL64" s="28">
        <f t="shared" ca="1" si="15"/>
        <v>0.57949185991295582</v>
      </c>
      <c r="DM64" s="15">
        <f t="shared" ca="1" si="95"/>
        <v>17.498401911568056</v>
      </c>
      <c r="DN64" s="15">
        <f t="shared" ca="1" si="96"/>
        <v>18.001598088431944</v>
      </c>
      <c r="DO64" s="9"/>
      <c r="DP64" s="9"/>
      <c r="DQ64" s="9"/>
      <c r="DR64" s="89">
        <v>3.3379775610471514E-2</v>
      </c>
      <c r="DS64" s="89">
        <v>1.0835750594786732E-2</v>
      </c>
      <c r="DT64" s="89">
        <v>2.8349080386697947E-2</v>
      </c>
      <c r="DU64" s="89">
        <v>2.8349080386697947E-2</v>
      </c>
      <c r="DV64" s="89">
        <f t="shared" ca="1" si="18"/>
        <v>2.8349080386697947E-2</v>
      </c>
      <c r="DW64" s="72">
        <f t="shared" ca="1" si="19"/>
        <v>-7.1860543872481197E-2</v>
      </c>
      <c r="DX64" s="37"/>
      <c r="DY64" s="35">
        <f t="shared" si="39"/>
        <v>1.3567946295098121</v>
      </c>
      <c r="DZ64" s="56"/>
      <c r="EA64" s="56"/>
      <c r="EC64" s="2" t="e" vm="64">
        <v>#VALUE!</v>
      </c>
      <c r="EE64" s="10" cm="1">
        <f t="array" aca="1" ref="EE64" ca="1">_FV(EC64,"Ações em circulação",TRUE)</f>
        <v>464187500</v>
      </c>
      <c r="EF64" s="18">
        <f>VLOOKUP(BM64,Fundamentus!A:U,5,FALSE)</f>
        <v>1.0049999999999999</v>
      </c>
      <c r="EG64" s="2">
        <f t="shared" ca="1" si="20"/>
        <v>8216811567.1641798</v>
      </c>
      <c r="EH64" s="17">
        <v>128182260.44776119</v>
      </c>
      <c r="EI64" s="17">
        <f t="shared" ca="1" si="21"/>
        <v>128182260.44776119</v>
      </c>
      <c r="EK64" s="16">
        <f t="shared" ca="1" si="22"/>
        <v>0</v>
      </c>
      <c r="EL64" s="32" t="str">
        <f>IF(VLOOKUP(BM64,Fundamentus!A:U,3,FALSE)&lt;15,"Bom",IF(VLOOKUP(BM64,Fundamentus!A:U,3,FALSE)&gt;15,"Ruim","n/a"))</f>
        <v>Ruim</v>
      </c>
      <c r="EM64" s="28" t="str">
        <f>IF(VLOOKUP(BM64,Fundamentus!A:U,4,FALSE)&lt;1,"Baixo",IF(VLOOKUP(BM64,Fundamentus!A:U,4,FALSE)&lt;1.5,"Moderado",IF(VLOOKUP(BM64,Fundamentus!A:U,4,FALSE)&gt;1.5,"Alto","n/a")))</f>
        <v>Baixo</v>
      </c>
      <c r="EN64" s="17" t="str">
        <f>IF(VLOOKUP(BM64,Fundamentus!A:U,8,FALSE)&lt;0,"Risco elevado",IF(VLOOKUP(BM64,Fundamentus!A:U,8,FALSE)&lt;1,"Saudável",IF(VLOOKUP(BM64,Fundamentus!A:U,8,FALSE)&lt;3,"Estável",IF(VLOOKUP(BM64,Fundamentus!A:U,8,FALSE)&gt;3,"Alerta","n/a"))))</f>
        <v>Alerta</v>
      </c>
      <c r="EO64" s="28" t="str">
        <f t="shared" si="23"/>
        <v>Bom</v>
      </c>
      <c r="EP64" s="17" t="str">
        <f>IF(VLOOKUP(BM64,Fundamentus!A:U,12,FALSE)&lt;2,"Subvalorizada",IF(VLOOKUP(BM64,Fundamentus!A:U,12,FALSE)&lt;6,"Muita barata",IF(VLOOKUP(BM64,Fundamentus!A:U,12,FALSE)&lt;6,"Barata",IF(VLOOKUP(BM64,Fundamentus!A:U,12,FALSE)&lt;8,"Atrativa",IF(VLOOKUP(BM64,Fundamentus!A:U,12,FALSE)&gt;8,"Supervalorizada","n/a")))))</f>
        <v>Atrativa</v>
      </c>
      <c r="ER64" s="17" t="str">
        <f>IF(VLOOKUP(BM64,Fundamentus!A:U,17,FALSE)&lt;0.1,"Fraco retorno",IF(VLOOKUP(BM64,Fundamentus!A:U,17,FALSE)&gt;0.1,"Bom retorno","n/a"))</f>
        <v>Fraco retorno</v>
      </c>
      <c r="ES64" s="17" t="str">
        <f>IF(VLOOKUP(BM64,Fundamentus!A:U,16,FALSE)&lt;0.1,"Ineficiente",IF(VLOOKUP(BM64,Fundamentus!A:U,16,FALSE)&gt;0.1,"Eficiente","n/a"))</f>
        <v>Ineficiente</v>
      </c>
      <c r="ET64" s="33" t="str">
        <f>IF(VLOOKUP(BM64,Fundamentus!A:U,16,FALSE)&lt;0.1,"Oper. Ineficiente",IF(VLOOKUP(BM64,Fundamentus!A:U,16,FALSE)&gt;0.1,"Oper.Eficiente","n/a"))</f>
        <v>Oper. Ineficiente</v>
      </c>
      <c r="EU64" s="34">
        <f>VLOOKUP(BM64,Fundamentus!A:U,14,FALSE)</f>
        <v>1.5599999999999999E-2</v>
      </c>
      <c r="EV64" s="17" t="str">
        <f>IF(VLOOKUP(BM64,Fundamentus!A:U,21,FALSE)&lt;0,"Negativo",IF(VLOOKUP(BM64,Fundamentus!A:U,21,FALSE)&lt;0.05,"Fraco",IF(VLOOKUP(BM64,Fundamentus!A:U,21,FALSE)&lt;0.1,"Bom",IF(VLOOKUP(BM64,Fundamentus!A:U,21,FALSE)&gt;0.1,"Muito bom","n/a"))))</f>
        <v>Muito bom</v>
      </c>
      <c r="EX64" s="29" t="str">
        <f>IF(VLOOKUP(BM64,Fundamentus!A:U,15,FALSE)&gt;1,"Bom",IF(VLOOKUP(BM64,Fundamentus!A:U,15,FALSE)&lt;1,"Ruim","n/a"))</f>
        <v>Bom</v>
      </c>
      <c r="EY64" s="17" t="str">
        <f>IF(VLOOKUP(BM64,Fundamentus!A:U,20,FALSE)&lt;0.5,"Baixa",IF(VLOOKUP(BM64,Fundamentus!A:U,20,FALSE)&lt;1,"Moderada",IF(VLOOKUP(BM64,Fundamentus!A:U,20,FALSE)&lt;2,"Alerta",IF(VLOOKUP(BM64,Fundamentus!A:U,20,FALSE)&gt;2,"Alta","n/a"))))</f>
        <v>Alerta</v>
      </c>
    </row>
    <row r="65" spans="1:156" s="2" customFormat="1" ht="11.25" x14ac:dyDescent="0.2">
      <c r="A65" s="4">
        <v>13.86</v>
      </c>
      <c r="B65" s="4">
        <v>13.14</v>
      </c>
      <c r="C65" s="4">
        <v>13</v>
      </c>
      <c r="D65" s="4">
        <v>12.39</v>
      </c>
      <c r="E65" s="4">
        <v>11.96</v>
      </c>
      <c r="F65" s="4">
        <v>11.06</v>
      </c>
      <c r="G65" s="4">
        <v>10.210000000000001</v>
      </c>
      <c r="H65" s="4">
        <v>10.48</v>
      </c>
      <c r="I65" s="4">
        <v>10.49</v>
      </c>
      <c r="J65" s="4">
        <v>11.3</v>
      </c>
      <c r="K65" s="4">
        <v>11.52</v>
      </c>
      <c r="L65" s="4">
        <v>11.27</v>
      </c>
      <c r="M65" s="4">
        <v>11.3</v>
      </c>
      <c r="N65" s="4">
        <v>11.17</v>
      </c>
      <c r="O65" s="4">
        <v>11.2</v>
      </c>
      <c r="P65" s="4">
        <v>11.55</v>
      </c>
      <c r="Q65" s="4">
        <v>11.35</v>
      </c>
      <c r="R65" s="4">
        <v>11.01</v>
      </c>
      <c r="S65" s="4">
        <v>10.93</v>
      </c>
      <c r="T65" s="4">
        <v>11.23</v>
      </c>
      <c r="U65" s="4">
        <v>11.14</v>
      </c>
      <c r="V65" s="4">
        <v>11.1</v>
      </c>
      <c r="W65" s="4">
        <v>10.99</v>
      </c>
      <c r="X65" s="4">
        <v>10.61</v>
      </c>
      <c r="Y65" s="4">
        <v>10.44</v>
      </c>
      <c r="Z65" s="4">
        <v>10.56</v>
      </c>
      <c r="AA65" s="4">
        <v>10.199999999999999</v>
      </c>
      <c r="AB65" s="4">
        <v>10</v>
      </c>
      <c r="AC65" s="4">
        <v>10.32</v>
      </c>
      <c r="AD65" s="4">
        <v>10.199999999999999</v>
      </c>
      <c r="AE65" s="4">
        <v>9.36</v>
      </c>
      <c r="AF65" s="4">
        <v>9.19</v>
      </c>
      <c r="AG65" s="4">
        <v>8.8699999999999992</v>
      </c>
      <c r="AH65" s="4">
        <v>8.5</v>
      </c>
      <c r="AI65" s="4">
        <v>8.61</v>
      </c>
      <c r="AJ65" s="4">
        <v>8.41</v>
      </c>
      <c r="AK65" s="4">
        <v>8.17</v>
      </c>
      <c r="AL65" s="4">
        <v>8.57</v>
      </c>
      <c r="AM65" s="4">
        <v>8.8000000000000007</v>
      </c>
      <c r="AN65" s="4">
        <v>9.17</v>
      </c>
      <c r="AO65" s="4">
        <v>9.2200000000000006</v>
      </c>
      <c r="AP65" s="4">
        <v>9.48</v>
      </c>
      <c r="AQ65" s="4">
        <v>9.25</v>
      </c>
      <c r="AR65" s="4">
        <v>8.83</v>
      </c>
      <c r="AS65" s="4">
        <v>9.06</v>
      </c>
      <c r="AT65" s="4">
        <v>9.49</v>
      </c>
      <c r="AU65" s="4">
        <v>9.5</v>
      </c>
      <c r="AV65" s="4">
        <v>9.59</v>
      </c>
      <c r="AW65" s="4">
        <v>9.2799999999999994</v>
      </c>
      <c r="AX65" s="4">
        <v>9.1300000000000008</v>
      </c>
      <c r="AY65" s="12">
        <v>9.3699999999999992</v>
      </c>
      <c r="AZ65" s="12">
        <v>9.93</v>
      </c>
      <c r="BA65" s="12">
        <v>10.16</v>
      </c>
      <c r="BB65" s="15">
        <v>10.49</v>
      </c>
      <c r="BC65" s="52">
        <v>10.6</v>
      </c>
      <c r="BD65" s="52">
        <v>10.49</v>
      </c>
      <c r="BE65" s="52">
        <v>10.66</v>
      </c>
      <c r="BF65" s="52">
        <v>10.64</v>
      </c>
      <c r="BG65" s="67">
        <v>10.66</v>
      </c>
      <c r="BH65" s="52">
        <v>10.4</v>
      </c>
      <c r="BI65" s="52">
        <v>10.66</v>
      </c>
      <c r="BJ65" s="52">
        <v>11.49</v>
      </c>
      <c r="BK65" s="52">
        <v>11.25</v>
      </c>
      <c r="BL65" s="52" cm="1">
        <f t="array" aca="1" ref="BL65" ca="1">_FV(EC65,"Preço")</f>
        <v>11.25</v>
      </c>
      <c r="BM65" s="69" t="s">
        <v>159</v>
      </c>
      <c r="BN65" s="36" cm="1">
        <f t="array" aca="1" ref="BN65" ca="1">_FV(EC65,"Média de volume",TRUE)</f>
        <v>798560</v>
      </c>
      <c r="BO65" s="36">
        <v>691800</v>
      </c>
      <c r="BP65" s="36" cm="1">
        <f t="array" aca="1" ref="BP65" ca="1">_FV(EC65,"Volume")</f>
        <v>691800</v>
      </c>
      <c r="BQ65" s="24" cm="1">
        <f t="array" aca="1" ref="BQ65" ca="1">_FV(EC65,"Beta")</f>
        <v>1.5494000000000001</v>
      </c>
      <c r="BR65" s="71" cm="1">
        <f t="array" aca="1" ref="BR65" ca="1">_FV(EC65,"Variação (%)",TRUE)</f>
        <v>-8.8109999999999994E-3</v>
      </c>
      <c r="BT65" s="17" cm="1">
        <f t="array" aca="1" ref="BT65" ca="1">_FV(EC65,"Baixo")</f>
        <v>11.16</v>
      </c>
      <c r="BU65" s="17" cm="1">
        <f t="array" aca="1" ref="BU65" ca="1">_FV(EC65,"Alto")</f>
        <v>11.32</v>
      </c>
      <c r="BV65" s="24"/>
      <c r="BW65" s="63">
        <f ca="1">SQRT(22.5*(BL65/VLOOKUP(BM65,Fundamentus!A:U,3,FALSE))*(BL65/VLOOKUP(BM65,Fundamentus!A:U,4,FALSE)))</f>
        <v>13.910318934063236</v>
      </c>
      <c r="BY65" s="62">
        <f t="shared" ca="1" si="24"/>
        <v>0</v>
      </c>
      <c r="BZ65" s="8"/>
      <c r="CA65" s="61">
        <f t="shared" si="25"/>
        <v>8.17</v>
      </c>
      <c r="CB65" s="61">
        <f t="shared" si="26"/>
        <v>13.86</v>
      </c>
      <c r="CC65" s="61">
        <f t="shared" si="27"/>
        <v>10.369206349206348</v>
      </c>
      <c r="CD65" s="14"/>
      <c r="CE65" s="35">
        <f t="shared" si="1"/>
        <v>10.349411365294973</v>
      </c>
      <c r="CF65" s="15">
        <f t="shared" si="28"/>
        <v>11.118999999999687</v>
      </c>
      <c r="CG65" s="35">
        <f t="shared" si="2"/>
        <v>11.888588634704401</v>
      </c>
      <c r="CI65" s="14"/>
      <c r="CJ65" s="17">
        <f t="shared" si="3"/>
        <v>2.7966666666666686</v>
      </c>
      <c r="CK65" s="17">
        <f t="shared" si="4"/>
        <v>5.4833333333333343</v>
      </c>
      <c r="CL65" s="17">
        <f t="shared" si="5"/>
        <v>8.4866666666666681</v>
      </c>
      <c r="CM65" s="38">
        <f t="shared" si="29"/>
        <v>11.173333333333334</v>
      </c>
      <c r="CN65" s="17">
        <f t="shared" si="6"/>
        <v>14.176666666666668</v>
      </c>
      <c r="CO65" s="17">
        <f t="shared" si="7"/>
        <v>16.863333333333333</v>
      </c>
      <c r="CP65" s="17">
        <f t="shared" si="8"/>
        <v>19.866666666666667</v>
      </c>
      <c r="CQ65" s="2" cm="1">
        <f t="array" aca="1" ref="CQ65" ca="1">MAX(_xlfn._xlws.FILTER(CJ65:CP65,CJ65:CP65&lt;BL65))</f>
        <v>11.173333333333334</v>
      </c>
      <c r="CR65" s="2" cm="1">
        <f t="array" aca="1" ref="CR65" ca="1">MIN(_xlfn._xlws.FILTER($CJ65:$CP65,$CJ65:$CP65&gt;BL65))</f>
        <v>14.176666666666668</v>
      </c>
      <c r="CS65" s="16">
        <f t="shared" ca="1" si="80"/>
        <v>0.26879474940334136</v>
      </c>
      <c r="CT65" s="20">
        <f t="shared" ca="1" si="81"/>
        <v>-0.13439737470167068</v>
      </c>
      <c r="CU65" s="20">
        <f t="shared" ca="1" si="82"/>
        <v>-8.9598249801113791E-2</v>
      </c>
      <c r="CV65" s="20">
        <f t="shared" ca="1" si="83"/>
        <v>-5.3758949880668275E-2</v>
      </c>
      <c r="CW65" s="20">
        <f t="shared" ca="1" si="84"/>
        <v>-2.9866083267037928E-2</v>
      </c>
      <c r="CX65" s="20">
        <f t="shared" ca="1" si="85"/>
        <v>-1.5811455847255376E-2</v>
      </c>
      <c r="CY65" s="20">
        <f t="shared" ca="1" si="86"/>
        <v>-8.1452954364648888E-3</v>
      </c>
      <c r="CZ65" s="20">
        <f t="shared" ca="1" si="87"/>
        <v>-4.1353038369744827E-3</v>
      </c>
      <c r="DA65" s="21">
        <f t="shared" ca="1" si="88"/>
        <v>4.1353038369744827E-3</v>
      </c>
      <c r="DB65" s="21">
        <f t="shared" ca="1" si="89"/>
        <v>8.1452954364648888E-3</v>
      </c>
      <c r="DC65" s="21">
        <f t="shared" ca="1" si="90"/>
        <v>1.5811455847255376E-2</v>
      </c>
      <c r="DD65" s="21">
        <f t="shared" ca="1" si="91"/>
        <v>2.9866083267037928E-2</v>
      </c>
      <c r="DE65" s="21">
        <f t="shared" ca="1" si="92"/>
        <v>5.3758949880668275E-2</v>
      </c>
      <c r="DF65" s="21">
        <f t="shared" ca="1" si="93"/>
        <v>8.9598249801113791E-2</v>
      </c>
      <c r="DG65" s="21">
        <f t="shared" ca="1" si="94"/>
        <v>0.13439737470167068</v>
      </c>
      <c r="DI65" s="16" cm="1">
        <f t="array" aca="1" ref="DI65" ca="1">MAX(_xlfn._xlws.FILTER(CT65:DG65,CT65:DG65&lt;BR65))</f>
        <v>-1.5811455847255376E-2</v>
      </c>
      <c r="DJ65" s="16" cm="1">
        <f t="array" aca="1" ref="DJ65" ca="1">MIN(_xlfn._xlws.FILTER(CT65:DG65,CT65:DG65&gt;BR65))</f>
        <v>-8.1452954364648888E-3</v>
      </c>
      <c r="DK65" s="2" cm="1">
        <f t="array" aca="1" ref="DK65" ca="1">_FV(EC65,"Fechamento anterior",TRUE)</f>
        <v>11.35</v>
      </c>
      <c r="DL65" s="28">
        <f t="shared" ca="1" si="15"/>
        <v>0.91321897597871893</v>
      </c>
      <c r="DM65" s="15">
        <f t="shared" ca="1" si="95"/>
        <v>11.170539976133652</v>
      </c>
      <c r="DN65" s="15">
        <f t="shared" ca="1" si="96"/>
        <v>11.257550896796124</v>
      </c>
      <c r="DO65" s="9"/>
      <c r="DP65" s="9"/>
      <c r="DQ65" s="9"/>
      <c r="DR65" s="89">
        <v>2.8107874465490364E-3</v>
      </c>
      <c r="DS65" s="89">
        <v>5.5724667489373382E-3</v>
      </c>
      <c r="DT65" s="89">
        <v>4.0099915994904062E-3</v>
      </c>
      <c r="DU65" s="89">
        <v>7.6661604107904867E-3</v>
      </c>
      <c r="DV65" s="89">
        <f t="shared" ca="1" si="18"/>
        <v>7.6661604107904867E-3</v>
      </c>
      <c r="DW65" s="72">
        <f t="shared" ca="1" si="19"/>
        <v>0.17022080900476999</v>
      </c>
      <c r="DX65" s="37"/>
      <c r="DY65" s="35">
        <f t="shared" si="39"/>
        <v>0.3847943173523572</v>
      </c>
      <c r="DZ65" s="56"/>
      <c r="EA65" s="56"/>
      <c r="EC65" s="2" t="e" vm="65">
        <v>#VALUE!</v>
      </c>
      <c r="EE65" s="10" cm="1">
        <f t="array" aca="1" ref="EE65" ca="1">_FV(EC65,"Ações em circulação",TRUE)</f>
        <v>234178200</v>
      </c>
      <c r="EF65" s="18">
        <f>VLOOKUP(BM65,Fundamentus!A:U,5,FALSE)</f>
        <v>1.5269999999999999</v>
      </c>
      <c r="EG65" s="2">
        <f t="shared" ca="1" si="20"/>
        <v>1725281434.1846759</v>
      </c>
      <c r="EH65" s="17">
        <v>301234138.40864444</v>
      </c>
      <c r="EI65" s="17">
        <f t="shared" ca="1" si="21"/>
        <v>301234138.40864444</v>
      </c>
      <c r="EK65" s="16">
        <f t="shared" ca="1" si="22"/>
        <v>0</v>
      </c>
      <c r="EL65" s="32" t="str">
        <f>IF(VLOOKUP(BM65,Fundamentus!A:U,3,FALSE)&lt;15,"Bom",IF(VLOOKUP(BM65,Fundamentus!A:U,3,FALSE)&gt;15,"Ruim","n/a"))</f>
        <v>Bom</v>
      </c>
      <c r="EM65" s="28" t="str">
        <f>IF(VLOOKUP(BM65,Fundamentus!A:U,4,FALSE)&lt;1,"Baixo",IF(VLOOKUP(BM65,Fundamentus!A:U,4,FALSE)&lt;1.5,"Moderado",IF(VLOOKUP(BM65,Fundamentus!A:U,4,FALSE)&gt;1.5,"Alto","n/a")))</f>
        <v>Alto</v>
      </c>
      <c r="EN65" s="17" t="str">
        <f>IF(VLOOKUP(BM65,Fundamentus!A:U,8,FALSE)&lt;0,"Risco elevado",IF(VLOOKUP(BM65,Fundamentus!A:U,8,FALSE)&lt;1,"Saudável",IF(VLOOKUP(BM65,Fundamentus!A:U,8,FALSE)&lt;3,"Estável",IF(VLOOKUP(BM65,Fundamentus!A:U,8,FALSE)&gt;3,"Alerta","n/a"))))</f>
        <v>Alerta</v>
      </c>
      <c r="EO65" s="28" t="str">
        <f t="shared" si="23"/>
        <v>Bom</v>
      </c>
      <c r="EP65" s="17" t="str">
        <f>IF(VLOOKUP(BM65,Fundamentus!A:U,12,FALSE)&lt;2,"Subvalorizada",IF(VLOOKUP(BM65,Fundamentus!A:U,12,FALSE)&lt;6,"Muita barata",IF(VLOOKUP(BM65,Fundamentus!A:U,12,FALSE)&lt;6,"Barata",IF(VLOOKUP(BM65,Fundamentus!A:U,12,FALSE)&lt;8,"Atrativa",IF(VLOOKUP(BM65,Fundamentus!A:U,12,FALSE)&gt;8,"Supervalorizada","n/a")))))</f>
        <v>Muita barata</v>
      </c>
      <c r="ER65" s="17" t="str">
        <f>IF(VLOOKUP(BM65,Fundamentus!A:U,17,FALSE)&lt;0.1,"Fraco retorno",IF(VLOOKUP(BM65,Fundamentus!A:U,17,FALSE)&gt;0.1,"Bom retorno","n/a"))</f>
        <v>Bom retorno</v>
      </c>
      <c r="ES65" s="17" t="str">
        <f>IF(VLOOKUP(BM65,Fundamentus!A:U,16,FALSE)&lt;0.1,"Ineficiente",IF(VLOOKUP(BM65,Fundamentus!A:U,16,FALSE)&gt;0.1,"Eficiente","n/a"))</f>
        <v>Eficiente</v>
      </c>
      <c r="ET65" s="33" t="str">
        <f>IF(VLOOKUP(BM65,Fundamentus!A:U,16,FALSE)&lt;0.1,"Oper. Ineficiente",IF(VLOOKUP(BM65,Fundamentus!A:U,16,FALSE)&gt;0.1,"Oper.Eficiente","n/a"))</f>
        <v>Oper.Eficiente</v>
      </c>
      <c r="EU65" s="34">
        <f>VLOOKUP(BM65,Fundamentus!A:U,14,FALSE)</f>
        <v>0.17460000000000001</v>
      </c>
      <c r="EV65" s="17" t="str">
        <f>IF(VLOOKUP(BM65,Fundamentus!A:U,21,FALSE)&lt;0,"Negativo",IF(VLOOKUP(BM65,Fundamentus!A:U,21,FALSE)&lt;0.05,"Fraco",IF(VLOOKUP(BM65,Fundamentus!A:U,21,FALSE)&lt;0.1,"Bom",IF(VLOOKUP(BM65,Fundamentus!A:U,21,FALSE)&gt;0.1,"Muito bom","n/a"))))</f>
        <v>Muito bom</v>
      </c>
      <c r="EX65" s="29" t="str">
        <f>IF(VLOOKUP(BM65,Fundamentus!A:U,15,FALSE)&gt;1,"Bom",IF(VLOOKUP(BM65,Fundamentus!A:U,15,FALSE)&lt;1,"Ruim","n/a"))</f>
        <v>Bom</v>
      </c>
      <c r="EY65" s="17" t="str">
        <f>IF(VLOOKUP(BM65,Fundamentus!A:U,20,FALSE)&lt;0.5,"Baixa",IF(VLOOKUP(BM65,Fundamentus!A:U,20,FALSE)&lt;1,"Moderada",IF(VLOOKUP(BM65,Fundamentus!A:U,20,FALSE)&lt;2,"Alerta",IF(VLOOKUP(BM65,Fundamentus!A:U,20,FALSE)&gt;2,"Alta","n/a"))))</f>
        <v>Alerta</v>
      </c>
    </row>
    <row r="66" spans="1:156" s="2" customFormat="1" ht="11.25" x14ac:dyDescent="0.2">
      <c r="A66" s="4">
        <v>14.03</v>
      </c>
      <c r="B66" s="4">
        <v>13.16</v>
      </c>
      <c r="C66" s="4">
        <v>12.63</v>
      </c>
      <c r="D66" s="4">
        <v>12.1</v>
      </c>
      <c r="E66" s="4">
        <v>11.56</v>
      </c>
      <c r="F66" s="4">
        <v>11.95</v>
      </c>
      <c r="G66" s="4">
        <v>11.79</v>
      </c>
      <c r="H66" s="4">
        <v>13.06</v>
      </c>
      <c r="I66" s="4">
        <v>13.65</v>
      </c>
      <c r="J66" s="4">
        <v>14.43</v>
      </c>
      <c r="K66" s="4">
        <v>14.88</v>
      </c>
      <c r="L66" s="4">
        <v>14.16</v>
      </c>
      <c r="M66" s="4">
        <v>13.81</v>
      </c>
      <c r="N66" s="4">
        <v>13.43</v>
      </c>
      <c r="O66" s="4">
        <v>14.45</v>
      </c>
      <c r="P66" s="4">
        <v>14.13</v>
      </c>
      <c r="Q66" s="4">
        <v>13.12</v>
      </c>
      <c r="R66" s="4">
        <v>13</v>
      </c>
      <c r="S66" s="4">
        <v>13.68</v>
      </c>
      <c r="T66" s="4">
        <v>13.19</v>
      </c>
      <c r="U66" s="4">
        <v>12.71</v>
      </c>
      <c r="V66" s="4">
        <v>14.86</v>
      </c>
      <c r="W66" s="4">
        <v>14.69</v>
      </c>
      <c r="X66" s="4">
        <v>14.73</v>
      </c>
      <c r="Y66" s="4">
        <v>12.89</v>
      </c>
      <c r="Z66" s="4">
        <v>12.82</v>
      </c>
      <c r="AA66" s="4">
        <v>12.68</v>
      </c>
      <c r="AB66" s="4">
        <v>12.66</v>
      </c>
      <c r="AC66" s="4">
        <v>12.84</v>
      </c>
      <c r="AD66" s="4">
        <v>12.9</v>
      </c>
      <c r="AE66" s="4">
        <v>12.82</v>
      </c>
      <c r="AF66" s="4">
        <v>12.91</v>
      </c>
      <c r="AG66" s="4">
        <v>13</v>
      </c>
      <c r="AH66" s="4">
        <v>12.98</v>
      </c>
      <c r="AI66" s="4">
        <v>13.12</v>
      </c>
      <c r="AJ66" s="4">
        <v>13.18</v>
      </c>
      <c r="AK66" s="4">
        <v>13.14</v>
      </c>
      <c r="AL66" s="4">
        <v>13.14</v>
      </c>
      <c r="AM66" s="4">
        <v>13.15</v>
      </c>
      <c r="AN66" s="4">
        <v>13.18</v>
      </c>
      <c r="AO66" s="4">
        <v>13.18</v>
      </c>
      <c r="AP66" s="4">
        <v>13.2</v>
      </c>
      <c r="AQ66" s="4">
        <v>13.15</v>
      </c>
      <c r="AR66" s="4">
        <v>13.36</v>
      </c>
      <c r="AS66" s="4">
        <v>13.12</v>
      </c>
      <c r="AT66" s="4">
        <v>13.34</v>
      </c>
      <c r="AU66" s="4">
        <v>13.39</v>
      </c>
      <c r="AV66" s="4">
        <v>13.26</v>
      </c>
      <c r="AW66" s="4">
        <v>13.3</v>
      </c>
      <c r="AX66" s="4">
        <v>13.33</v>
      </c>
      <c r="AY66" s="12">
        <v>13.43</v>
      </c>
      <c r="AZ66" s="12">
        <v>13.52</v>
      </c>
      <c r="BA66" s="12">
        <v>13.54</v>
      </c>
      <c r="BB66" s="15">
        <v>13.53</v>
      </c>
      <c r="BC66" s="52">
        <v>13.55</v>
      </c>
      <c r="BD66" s="52">
        <v>13.62</v>
      </c>
      <c r="BE66" s="52">
        <v>13.68</v>
      </c>
      <c r="BF66" s="52">
        <v>13.69</v>
      </c>
      <c r="BG66" s="67">
        <v>13.71</v>
      </c>
      <c r="BH66" s="52">
        <v>13.69</v>
      </c>
      <c r="BI66" s="52">
        <v>13.75</v>
      </c>
      <c r="BJ66" s="52">
        <v>13.76</v>
      </c>
      <c r="BK66" s="52">
        <v>13.82</v>
      </c>
      <c r="BL66" s="52" cm="1">
        <f t="array" aca="1" ref="BL66" ca="1">_FV(EC66,"Preço")</f>
        <v>13.82</v>
      </c>
      <c r="BM66" s="69" t="s">
        <v>63</v>
      </c>
      <c r="BN66" s="36" cm="1">
        <f t="array" aca="1" ref="BN66" ca="1">_FV(EC66,"Média de volume",TRUE)</f>
        <v>2214020</v>
      </c>
      <c r="BO66" s="36">
        <v>2035200</v>
      </c>
      <c r="BP66" s="36" cm="1">
        <f t="array" aca="1" ref="BP66" ca="1">_FV(EC66,"Volume")</f>
        <v>2035200</v>
      </c>
      <c r="BQ66" s="24" cm="1">
        <f t="array" aca="1" ref="BQ66" ca="1">_FV(EC66,"Beta")</f>
        <v>1.298</v>
      </c>
      <c r="BR66" s="71" cm="1">
        <f t="array" aca="1" ref="BR66" ca="1">_FV(EC66,"Variação (%)",TRUE)</f>
        <v>2.9030000000000002E-3</v>
      </c>
      <c r="BT66" s="17" cm="1">
        <f t="array" aca="1" ref="BT66" ca="1">_FV(EC66,"Baixo")</f>
        <v>13.78</v>
      </c>
      <c r="BU66" s="17" cm="1">
        <f t="array" aca="1" ref="BU66" ca="1">_FV(EC66,"Alto")</f>
        <v>13.82</v>
      </c>
      <c r="BV66" s="24"/>
      <c r="BW66" s="63">
        <f ca="1">SQRT(22.5*(BL66/VLOOKUP(BM66,Fundamentus!A:U,3,FALSE))*(BL66/VLOOKUP(BM66,Fundamentus!A:U,4,FALSE)))</f>
        <v>3.8393826684123007</v>
      </c>
      <c r="BY66" s="62">
        <f t="shared" ca="1" si="24"/>
        <v>0</v>
      </c>
      <c r="BZ66" s="8"/>
      <c r="CA66" s="61">
        <f t="shared" si="25"/>
        <v>11.56</v>
      </c>
      <c r="CB66" s="61">
        <f t="shared" si="26"/>
        <v>14.88</v>
      </c>
      <c r="CC66" s="61">
        <f t="shared" si="27"/>
        <v>13.341746031746032</v>
      </c>
      <c r="CD66" s="14"/>
      <c r="CE66" s="35">
        <f t="shared" si="1"/>
        <v>13.682864833592742</v>
      </c>
      <c r="CF66" s="15">
        <f t="shared" si="28"/>
        <v>13.774999999999977</v>
      </c>
      <c r="CG66" s="35">
        <f t="shared" si="2"/>
        <v>13.867135166407213</v>
      </c>
      <c r="CI66" s="14"/>
      <c r="CJ66" s="17">
        <f t="shared" si="3"/>
        <v>8.6</v>
      </c>
      <c r="CK66" s="17">
        <f t="shared" si="4"/>
        <v>10.08</v>
      </c>
      <c r="CL66" s="17">
        <f t="shared" si="5"/>
        <v>11.92</v>
      </c>
      <c r="CM66" s="38">
        <f t="shared" si="29"/>
        <v>13.4</v>
      </c>
      <c r="CN66" s="17">
        <f t="shared" si="6"/>
        <v>15.24</v>
      </c>
      <c r="CO66" s="17">
        <f t="shared" si="7"/>
        <v>16.72</v>
      </c>
      <c r="CP66" s="17">
        <f t="shared" si="8"/>
        <v>18.560000000000002</v>
      </c>
      <c r="CQ66" s="2" cm="1">
        <f t="array" aca="1" ref="CQ66" ca="1">MAX(_xlfn._xlws.FILTER(CJ66:CP66,CJ66:CP66&lt;BL66))</f>
        <v>13.4</v>
      </c>
      <c r="CR66" s="2" cm="1">
        <f t="array" aca="1" ref="CR66" ca="1">MIN(_xlfn._xlws.FILTER($CJ66:$CP66,$CJ66:$CP66&gt;BL66))</f>
        <v>15.24</v>
      </c>
      <c r="CS66" s="16">
        <f t="shared" ca="1" si="80"/>
        <v>0.13731343283582098</v>
      </c>
      <c r="CT66" s="20">
        <f t="shared" ca="1" si="81"/>
        <v>-6.8656716417910491E-2</v>
      </c>
      <c r="CU66" s="20">
        <f t="shared" ca="1" si="82"/>
        <v>-4.5771144278606991E-2</v>
      </c>
      <c r="CV66" s="20">
        <f t="shared" ca="1" si="83"/>
        <v>-2.7462686567164198E-2</v>
      </c>
      <c r="CW66" s="20">
        <f t="shared" ca="1" si="84"/>
        <v>-1.5257048092868998E-2</v>
      </c>
      <c r="CX66" s="20">
        <f t="shared" ca="1" si="85"/>
        <v>-8.0772607550482923E-3</v>
      </c>
      <c r="CY66" s="20">
        <f t="shared" ca="1" si="86"/>
        <v>-4.1610131162369991E-3</v>
      </c>
      <c r="CZ66" s="20">
        <f t="shared" ca="1" si="87"/>
        <v>-2.1125143513203229E-3</v>
      </c>
      <c r="DA66" s="21">
        <f t="shared" ca="1" si="88"/>
        <v>2.1125143513203229E-3</v>
      </c>
      <c r="DB66" s="21">
        <f t="shared" ca="1" si="89"/>
        <v>4.1610131162369991E-3</v>
      </c>
      <c r="DC66" s="21">
        <f t="shared" ca="1" si="90"/>
        <v>8.0772607550482923E-3</v>
      </c>
      <c r="DD66" s="21">
        <f t="shared" ca="1" si="91"/>
        <v>1.5257048092868998E-2</v>
      </c>
      <c r="DE66" s="21">
        <f t="shared" ca="1" si="92"/>
        <v>2.7462686567164198E-2</v>
      </c>
      <c r="DF66" s="21">
        <f t="shared" ca="1" si="93"/>
        <v>4.5771144278606991E-2</v>
      </c>
      <c r="DG66" s="21">
        <f t="shared" ca="1" si="94"/>
        <v>6.8656716417910491E-2</v>
      </c>
      <c r="DI66" s="16" cm="1">
        <f t="array" aca="1" ref="DI66" ca="1">MAX(_xlfn._xlws.FILTER(CT66:DG66,CT66:DG66&lt;BR66))</f>
        <v>2.1125143513203229E-3</v>
      </c>
      <c r="DJ66" s="16" cm="1">
        <f t="array" aca="1" ref="DJ66" ca="1">MIN(_xlfn._xlws.FILTER(CT66:DG66,CT66:DG66&gt;BR66))</f>
        <v>4.1610131162369991E-3</v>
      </c>
      <c r="DK66" s="2" cm="1">
        <f t="array" aca="1" ref="DK66" ca="1">_FV(EC66,"Fechamento anterior",TRUE)</f>
        <v>13.78</v>
      </c>
      <c r="DL66" s="28">
        <f t="shared" ca="1" si="15"/>
        <v>0.38576702214931374</v>
      </c>
      <c r="DM66" s="15">
        <f t="shared" ca="1" si="95"/>
        <v>13.809110447761194</v>
      </c>
      <c r="DN66" s="15">
        <f t="shared" ca="1" si="96"/>
        <v>13.837338760741746</v>
      </c>
      <c r="DO66" s="9"/>
      <c r="DP66" s="9"/>
      <c r="DQ66" s="9"/>
      <c r="DR66" s="89">
        <v>4.4021212294006922E-3</v>
      </c>
      <c r="DS66" s="89">
        <v>4.1919724111504951E-3</v>
      </c>
      <c r="DT66" s="89">
        <v>4.2250287026406458E-3</v>
      </c>
      <c r="DU66" s="89">
        <v>2.0484987649166762E-3</v>
      </c>
      <c r="DV66" s="89">
        <f t="shared" ca="1" si="18"/>
        <v>2.0484987649166762E-3</v>
      </c>
      <c r="DW66" s="75">
        <f t="shared" ca="1" si="19"/>
        <v>0.48841285857263245</v>
      </c>
      <c r="DX66" s="37"/>
      <c r="DY66" s="35">
        <f t="shared" si="39"/>
        <v>4.6067583203617667E-2</v>
      </c>
      <c r="DZ66" s="56"/>
      <c r="EA66" s="56"/>
      <c r="EC66" s="2" t="e" vm="66">
        <v>#VALUE!</v>
      </c>
      <c r="EE66" s="10" cm="1">
        <f t="array" aca="1" ref="EE66" ca="1">_FV(EC66,"Ações em circulação",TRUE)</f>
        <v>864170300</v>
      </c>
      <c r="EF66" s="18">
        <f>VLOOKUP(BM66,Fundamentus!A:U,5,FALSE)</f>
        <v>3.7709999999999999</v>
      </c>
      <c r="EG66" s="2">
        <f t="shared" ca="1" si="20"/>
        <v>3167020298.5945373</v>
      </c>
      <c r="EH66" s="17">
        <v>799039221.33540177</v>
      </c>
      <c r="EI66" s="17">
        <f t="shared" ca="1" si="21"/>
        <v>799039221.33540177</v>
      </c>
      <c r="EK66" s="16">
        <f ca="1">(EI66/EH66)-1</f>
        <v>0</v>
      </c>
      <c r="EL66" s="32" t="str">
        <f>IF(VLOOKUP(BM66,Fundamentus!A:U,3,FALSE)&lt;15,"Bom",IF(VLOOKUP(BM66,Fundamentus!A:U,3,FALSE)&gt;15,"Ruim","n/a"))</f>
        <v>Bom</v>
      </c>
      <c r="EM66" s="28" t="str">
        <f>IF(VLOOKUP(BM66,Fundamentus!A:U,4,FALSE)&lt;1,"Baixo",IF(VLOOKUP(BM66,Fundamentus!A:U,4,FALSE)&lt;1.5,"Moderado",IF(VLOOKUP(BM66,Fundamentus!A:U,4,FALSE)&gt;1.5,"Alto","n/a")))</f>
        <v>Alto</v>
      </c>
      <c r="EN66" s="17" t="str">
        <f>IF(VLOOKUP(BM66,Fundamentus!A:U,8,FALSE)&lt;0,"Risco elevado",IF(VLOOKUP(BM66,Fundamentus!A:U,8,FALSE)&lt;1,"Saudável",IF(VLOOKUP(BM66,Fundamentus!A:U,8,FALSE)&lt;3,"Estável",IF(VLOOKUP(BM66,Fundamentus!A:U,8,FALSE)&gt;3,"Alerta","n/a"))))</f>
        <v>Alerta</v>
      </c>
      <c r="EO66" s="28" t="str">
        <f t="shared" si="23"/>
        <v>Bom</v>
      </c>
      <c r="EP66" s="17" t="str">
        <f>IF(VLOOKUP(BM66,Fundamentus!A:U,12,FALSE)&lt;2,"Subvalorizada",IF(VLOOKUP(BM66,Fundamentus!A:U,12,FALSE)&lt;6,"Muita barata",IF(VLOOKUP(BM66,Fundamentus!A:U,12,FALSE)&lt;6,"Barata",IF(VLOOKUP(BM66,Fundamentus!A:U,12,FALSE)&lt;8,"Atrativa",IF(VLOOKUP(BM66,Fundamentus!A:U,12,FALSE)&gt;8,"Supervalorizada","n/a")))))</f>
        <v>Supervalorizada</v>
      </c>
      <c r="ER66" s="17" t="str">
        <f>IF(VLOOKUP(BM66,Fundamentus!A:U,17,FALSE)&lt;0.1,"Fraco retorno",IF(VLOOKUP(BM66,Fundamentus!A:U,17,FALSE)&gt;0.1,"Bom retorno","n/a"))</f>
        <v>Bom retorno</v>
      </c>
      <c r="ES66" s="17" t="str">
        <f>IF(VLOOKUP(BM66,Fundamentus!A:U,16,FALSE)&lt;0.1,"Ineficiente",IF(VLOOKUP(BM66,Fundamentus!A:U,16,FALSE)&gt;0.1,"Eficiente","n/a"))</f>
        <v>Eficiente</v>
      </c>
      <c r="ET66" s="33" t="str">
        <f>IF(VLOOKUP(BM66,Fundamentus!A:U,16,FALSE)&lt;0.1,"Oper. Ineficiente",IF(VLOOKUP(BM66,Fundamentus!A:U,16,FALSE)&gt;0.1,"Oper.Eficiente","n/a"))</f>
        <v>Oper.Eficiente</v>
      </c>
      <c r="EU66" s="34">
        <f>VLOOKUP(BM66,Fundamentus!A:U,14,FALSE)</f>
        <v>0.25230000000000002</v>
      </c>
      <c r="EV66" s="17" t="str">
        <f>IF(VLOOKUP(BM66,Fundamentus!A:U,21,FALSE)&lt;0,"Negativo",IF(VLOOKUP(BM66,Fundamentus!A:U,21,FALSE)&lt;0.05,"Fraco",IF(VLOOKUP(BM66,Fundamentus!A:U,21,FALSE)&lt;0.1,"Bom",IF(VLOOKUP(BM66,Fundamentus!A:U,21,FALSE)&gt;0.1,"Muito bom","n/a"))))</f>
        <v>Muito bom</v>
      </c>
      <c r="EX66" s="29" t="str">
        <f>IF(VLOOKUP(BM66,Fundamentus!A:U,15,FALSE)&gt;1,"Bom",IF(VLOOKUP(BM66,Fundamentus!A:U,15,FALSE)&lt;1,"Ruim","n/a"))</f>
        <v>Bom</v>
      </c>
      <c r="EY66" s="17" t="str">
        <f>IF(VLOOKUP(BM66,Fundamentus!A:U,20,FALSE)&lt;0.5,"Baixa",IF(VLOOKUP(BM66,Fundamentus!A:U,20,FALSE)&lt;1,"Moderada",IF(VLOOKUP(BM66,Fundamentus!A:U,20,FALSE)&lt;2,"Alerta",IF(VLOOKUP(BM66,Fundamentus!A:U,20,FALSE)&gt;2,"Alta","n/a"))))</f>
        <v>Alta</v>
      </c>
    </row>
    <row r="67" spans="1:156" s="2" customFormat="1" ht="11.25" x14ac:dyDescent="0.2">
      <c r="A67" s="4">
        <v>24.09</v>
      </c>
      <c r="B67" s="4">
        <v>23.59</v>
      </c>
      <c r="C67" s="4">
        <v>23.69</v>
      </c>
      <c r="D67" s="4">
        <v>22.45</v>
      </c>
      <c r="E67" s="4">
        <v>21.63</v>
      </c>
      <c r="F67" s="4">
        <v>20.8</v>
      </c>
      <c r="G67" s="4">
        <v>20.72</v>
      </c>
      <c r="H67" s="4">
        <v>20.93</v>
      </c>
      <c r="I67" s="4">
        <v>20.9</v>
      </c>
      <c r="J67" s="4">
        <v>22.11</v>
      </c>
      <c r="K67" s="4">
        <v>22.75</v>
      </c>
      <c r="L67" s="4">
        <v>23.09</v>
      </c>
      <c r="M67" s="4">
        <v>23.24</v>
      </c>
      <c r="N67" s="4">
        <v>23.31</v>
      </c>
      <c r="O67" s="4">
        <v>24.75</v>
      </c>
      <c r="P67" s="4">
        <v>26.03</v>
      </c>
      <c r="Q67" s="4">
        <v>25.45</v>
      </c>
      <c r="R67" s="4">
        <v>25.72</v>
      </c>
      <c r="S67" s="4">
        <v>25.91</v>
      </c>
      <c r="T67" s="4">
        <v>25.28</v>
      </c>
      <c r="U67" s="4">
        <v>24.78</v>
      </c>
      <c r="V67" s="4">
        <v>23.62</v>
      </c>
      <c r="W67" s="4">
        <v>23.09</v>
      </c>
      <c r="X67" s="4">
        <v>22.87</v>
      </c>
      <c r="Y67" s="4">
        <v>22.15</v>
      </c>
      <c r="Z67" s="4">
        <v>21.91</v>
      </c>
      <c r="AA67" s="4">
        <v>22.12</v>
      </c>
      <c r="AB67" s="4">
        <v>22.45</v>
      </c>
      <c r="AC67" s="4">
        <v>22.21</v>
      </c>
      <c r="AD67" s="4">
        <v>21.83</v>
      </c>
      <c r="AE67" s="4">
        <v>20.63</v>
      </c>
      <c r="AF67" s="4">
        <v>20.190000000000001</v>
      </c>
      <c r="AG67" s="4">
        <v>20.09</v>
      </c>
      <c r="AH67" s="4">
        <v>18.510000000000002</v>
      </c>
      <c r="AI67" s="4">
        <v>17.899999999999999</v>
      </c>
      <c r="AJ67" s="4">
        <v>17.600000000000001</v>
      </c>
      <c r="AK67" s="4">
        <v>17.399999999999999</v>
      </c>
      <c r="AL67" s="4">
        <v>17.02</v>
      </c>
      <c r="AM67" s="4">
        <v>17.59</v>
      </c>
      <c r="AN67" s="4">
        <v>16.86</v>
      </c>
      <c r="AO67" s="4">
        <v>16.48</v>
      </c>
      <c r="AP67" s="4">
        <v>18.170000000000002</v>
      </c>
      <c r="AQ67" s="4">
        <v>17.579999999999998</v>
      </c>
      <c r="AR67" s="4">
        <v>17.02</v>
      </c>
      <c r="AS67" s="4">
        <v>16.670000000000002</v>
      </c>
      <c r="AT67" s="4">
        <v>17.53</v>
      </c>
      <c r="AU67" s="4">
        <v>17.93</v>
      </c>
      <c r="AV67" s="4">
        <v>18.190000000000001</v>
      </c>
      <c r="AW67" s="4">
        <v>17.690000000000001</v>
      </c>
      <c r="AX67" s="4">
        <v>17.899999999999999</v>
      </c>
      <c r="AY67" s="12">
        <v>18.100000000000001</v>
      </c>
      <c r="AZ67" s="12">
        <v>19.100000000000001</v>
      </c>
      <c r="BA67" s="12">
        <v>18.8</v>
      </c>
      <c r="BB67" s="15">
        <v>17.88</v>
      </c>
      <c r="BC67" s="52">
        <v>18.95</v>
      </c>
      <c r="BD67" s="52">
        <v>19.18</v>
      </c>
      <c r="BE67" s="52">
        <v>20.18</v>
      </c>
      <c r="BF67" s="52">
        <v>20.13</v>
      </c>
      <c r="BG67" s="67">
        <v>21.07</v>
      </c>
      <c r="BH67" s="52">
        <v>21.43</v>
      </c>
      <c r="BI67" s="52">
        <v>21.21</v>
      </c>
      <c r="BJ67" s="52">
        <v>22.59</v>
      </c>
      <c r="BK67" s="52">
        <v>21.74</v>
      </c>
      <c r="BL67" s="52" cm="1">
        <f t="array" aca="1" ref="BL67" ca="1">_FV(EC67,"Preço")</f>
        <v>21.74</v>
      </c>
      <c r="BM67" s="69" t="s">
        <v>116</v>
      </c>
      <c r="BN67" s="36" cm="1">
        <f t="array" aca="1" ref="BN67" ca="1">_FV(EC67,"Média de volume",TRUE)</f>
        <v>10270800</v>
      </c>
      <c r="BO67" s="36">
        <v>9900000</v>
      </c>
      <c r="BP67" s="36" cm="1">
        <f t="array" aca="1" ref="BP67" ca="1">_FV(EC67,"Volume")</f>
        <v>9900000</v>
      </c>
      <c r="BQ67" s="24" cm="1">
        <f t="array" aca="1" ref="BQ67" ca="1">_FV(EC67,"Beta")</f>
        <v>1.0336000000000001</v>
      </c>
      <c r="BR67" s="71" cm="1">
        <f t="array" aca="1" ref="BR67" ca="1">_FV(EC67,"Variação (%)",TRUE)</f>
        <v>-1.5844E-2</v>
      </c>
      <c r="BT67" s="17" cm="1">
        <f t="array" aca="1" ref="BT67" ca="1">_FV(EC67,"Baixo")</f>
        <v>21.65</v>
      </c>
      <c r="BU67" s="17" cm="1">
        <f t="array" aca="1" ref="BU67" ca="1">_FV(EC67,"Alto")</f>
        <v>22.08</v>
      </c>
      <c r="BV67" s="24"/>
      <c r="BW67" s="63">
        <f ca="1">SQRT(22.5*(BL67/VLOOKUP(BM67,Fundamentus!A:U,3,FALSE))*(BL67/VLOOKUP(BM67,Fundamentus!A:U,4,FALSE)))</f>
        <v>49.265102509089381</v>
      </c>
      <c r="BY67" s="62">
        <f t="shared" ca="1" si="24"/>
        <v>0</v>
      </c>
      <c r="BZ67" s="8"/>
      <c r="CA67" s="61">
        <f t="shared" si="25"/>
        <v>16.48</v>
      </c>
      <c r="CB67" s="61">
        <f t="shared" si="26"/>
        <v>26.03</v>
      </c>
      <c r="CC67" s="61">
        <f t="shared" si="27"/>
        <v>20.837777777777784</v>
      </c>
      <c r="CD67" s="14"/>
      <c r="CE67" s="35">
        <f t="shared" si="1"/>
        <v>20.378882395179801</v>
      </c>
      <c r="CF67" s="15">
        <f t="shared" si="28"/>
        <v>21.857999999999947</v>
      </c>
      <c r="CG67" s="35">
        <f t="shared" si="2"/>
        <v>23.337117604820094</v>
      </c>
      <c r="CI67" s="14"/>
      <c r="CJ67" s="17">
        <f t="shared" si="3"/>
        <v>7.8200000000000038</v>
      </c>
      <c r="CK67" s="17">
        <f t="shared" si="4"/>
        <v>12.150000000000002</v>
      </c>
      <c r="CL67" s="17">
        <f t="shared" si="5"/>
        <v>17.370000000000005</v>
      </c>
      <c r="CM67" s="38">
        <f t="shared" si="29"/>
        <v>21.700000000000003</v>
      </c>
      <c r="CN67" s="17">
        <f t="shared" si="6"/>
        <v>26.920000000000005</v>
      </c>
      <c r="CO67" s="17">
        <f t="shared" si="7"/>
        <v>31.250000000000004</v>
      </c>
      <c r="CP67" s="17">
        <f t="shared" si="8"/>
        <v>36.470000000000006</v>
      </c>
      <c r="CQ67" s="2" cm="1">
        <f t="array" aca="1" ref="CQ67" ca="1">MAX(_xlfn._xlws.FILTER(CJ67:CP67,CJ67:CP67&lt;BL67))</f>
        <v>21.700000000000003</v>
      </c>
      <c r="CR67" s="2" cm="1">
        <f t="array" aca="1" ref="CR67" ca="1">MIN(_xlfn._xlws.FILTER($CJ67:$CP67,$CJ67:$CP67&gt;BL67))</f>
        <v>26.920000000000005</v>
      </c>
      <c r="CS67" s="16">
        <f t="shared" ca="1" si="80"/>
        <v>0.24055299539170516</v>
      </c>
      <c r="CT67" s="20">
        <f t="shared" ca="1" si="81"/>
        <v>-0.12027649769585258</v>
      </c>
      <c r="CU67" s="20">
        <f t="shared" ca="1" si="82"/>
        <v>-8.0184331797235053E-2</v>
      </c>
      <c r="CV67" s="20">
        <f t="shared" ca="1" si="83"/>
        <v>-4.8110599078341032E-2</v>
      </c>
      <c r="CW67" s="20">
        <f t="shared" ca="1" si="84"/>
        <v>-2.6728110599078352E-2</v>
      </c>
      <c r="CX67" s="20">
        <f t="shared" ca="1" si="85"/>
        <v>-1.4150176199512069E-2</v>
      </c>
      <c r="CY67" s="20">
        <f t="shared" ca="1" si="86"/>
        <v>-7.2894847088395501E-3</v>
      </c>
      <c r="CZ67" s="20">
        <f t="shared" ca="1" si="87"/>
        <v>-3.7008153137185408E-3</v>
      </c>
      <c r="DA67" s="21">
        <f t="shared" ca="1" si="88"/>
        <v>3.7008153137185408E-3</v>
      </c>
      <c r="DB67" s="21">
        <f t="shared" ca="1" si="89"/>
        <v>7.2894847088395501E-3</v>
      </c>
      <c r="DC67" s="21">
        <f t="shared" ca="1" si="90"/>
        <v>1.4150176199512069E-2</v>
      </c>
      <c r="DD67" s="21">
        <f t="shared" ca="1" si="91"/>
        <v>2.6728110599078352E-2</v>
      </c>
      <c r="DE67" s="21">
        <f t="shared" ca="1" si="92"/>
        <v>4.8110599078341032E-2</v>
      </c>
      <c r="DF67" s="21">
        <f t="shared" ca="1" si="93"/>
        <v>8.0184331797235053E-2</v>
      </c>
      <c r="DG67" s="21">
        <f t="shared" ca="1" si="94"/>
        <v>0.12027649769585258</v>
      </c>
      <c r="DI67" s="16" cm="1">
        <f t="array" aca="1" ref="DI67" ca="1">MAX(_xlfn._xlws.FILTER(CT67:DG67,CT67:DG67&lt;BR67))</f>
        <v>-2.6728110599078352E-2</v>
      </c>
      <c r="DJ67" s="16" cm="1">
        <f t="array" aca="1" ref="DJ67" ca="1">MIN(_xlfn._xlws.FILTER(CT67:DG67,CT67:DG67&gt;BR67))</f>
        <v>-1.4150176199512069E-2</v>
      </c>
      <c r="DK67" s="2" cm="1">
        <f t="array" aca="1" ref="DK67" ca="1">_FV(EC67,"Fechamento anterior",TRUE)</f>
        <v>22.09</v>
      </c>
      <c r="DL67" s="28">
        <f t="shared" ca="1" si="15"/>
        <v>0.86531196828022561</v>
      </c>
      <c r="DM67" s="15">
        <f t="shared" ca="1" si="95"/>
        <v>21.499576036866358</v>
      </c>
      <c r="DN67" s="15">
        <f t="shared" ca="1" si="96"/>
        <v>21.777422607752779</v>
      </c>
      <c r="DO67" s="9"/>
      <c r="DP67" s="9"/>
      <c r="DQ67" s="9"/>
      <c r="DR67" s="89">
        <v>3.1103717549008747E-3</v>
      </c>
      <c r="DS67" s="89">
        <v>9.0984621655092399E-3</v>
      </c>
      <c r="DT67" s="89">
        <v>2.138248847926268E-2</v>
      </c>
      <c r="DU67" s="89">
        <v>1.2577934399566284E-2</v>
      </c>
      <c r="DV67" s="89">
        <f t="shared" ca="1" si="18"/>
        <v>1.2577934399566284E-2</v>
      </c>
      <c r="DW67" s="72">
        <f t="shared" ca="1" si="19"/>
        <v>-7.9777293986232456E-2</v>
      </c>
      <c r="DX67" s="37"/>
      <c r="DY67" s="35">
        <f t="shared" si="39"/>
        <v>0.73955880241007355</v>
      </c>
      <c r="DZ67" s="56"/>
      <c r="EA67" s="56"/>
      <c r="EC67" s="2" t="e" vm="67">
        <v>#VALUE!</v>
      </c>
      <c r="EE67" s="10" cm="1">
        <f t="array" aca="1" ref="EE67" ca="1">_FV(EC67,"Ações em circulação",TRUE)</f>
        <v>1119000000</v>
      </c>
      <c r="EF67" s="18">
        <f>VLOOKUP(BM67,Fundamentus!A:U,5,FALSE)</f>
        <v>0.13300000000000001</v>
      </c>
      <c r="EG67" s="2">
        <f t="shared" ca="1" si="20"/>
        <v>182910225563.90976</v>
      </c>
      <c r="EH67" s="17">
        <v>6365275849.6240587</v>
      </c>
      <c r="EI67" s="17">
        <f t="shared" ca="1" si="21"/>
        <v>6365275849.6240587</v>
      </c>
      <c r="EK67" s="16">
        <f t="shared" ref="EK67:EK130" ca="1" si="97">(EI67/EH67)-1</f>
        <v>0</v>
      </c>
      <c r="EL67" s="32" t="str">
        <f>IF(VLOOKUP(BM67,Fundamentus!A:U,3,FALSE)&lt;15,"Bom",IF(VLOOKUP(BM67,Fundamentus!A:U,3,FALSE)&gt;15,"Ruim","n/a"))</f>
        <v>Bom</v>
      </c>
      <c r="EM67" s="28" t="str">
        <f>IF(VLOOKUP(BM67,Fundamentus!A:U,4,FALSE)&lt;1,"Baixo",IF(VLOOKUP(BM67,Fundamentus!A:U,4,FALSE)&lt;1.5,"Moderado",IF(VLOOKUP(BM67,Fundamentus!A:U,4,FALSE)&gt;1.5,"Alto","n/a")))</f>
        <v>Moderado</v>
      </c>
      <c r="EN67" s="17" t="str">
        <f>IF(VLOOKUP(BM67,Fundamentus!A:U,8,FALSE)&lt;0,"Risco elevado",IF(VLOOKUP(BM67,Fundamentus!A:U,8,FALSE)&lt;1,"Saudável",IF(VLOOKUP(BM67,Fundamentus!A:U,8,FALSE)&lt;3,"Estável",IF(VLOOKUP(BM67,Fundamentus!A:U,8,FALSE)&gt;3,"Alerta","n/a"))))</f>
        <v>Estável</v>
      </c>
      <c r="EO67" s="28" t="str">
        <f t="shared" si="23"/>
        <v>Ruim</v>
      </c>
      <c r="EP67" s="17" t="str">
        <f>IF(VLOOKUP(BM67,Fundamentus!A:U,12,FALSE)&lt;2,"Subvalorizada",IF(VLOOKUP(BM67,Fundamentus!A:U,12,FALSE)&lt;6,"Muita barata",IF(VLOOKUP(BM67,Fundamentus!A:U,12,FALSE)&lt;6,"Barata",IF(VLOOKUP(BM67,Fundamentus!A:U,12,FALSE)&lt;8,"Atrativa",IF(VLOOKUP(BM67,Fundamentus!A:U,12,FALSE)&gt;8,"Supervalorizada","n/a")))))</f>
        <v>Supervalorizada</v>
      </c>
      <c r="ER67" s="17" t="str">
        <f>IF(VLOOKUP(BM67,Fundamentus!A:U,17,FALSE)&lt;0.1,"Fraco retorno",IF(VLOOKUP(BM67,Fundamentus!A:U,17,FALSE)&gt;0.1,"Bom retorno","n/a"))</f>
        <v>Bom retorno</v>
      </c>
      <c r="ES67" s="17" t="str">
        <f>IF(VLOOKUP(BM67,Fundamentus!A:U,16,FALSE)&lt;0.1,"Ineficiente",IF(VLOOKUP(BM67,Fundamentus!A:U,16,FALSE)&gt;0.1,"Eficiente","n/a"))</f>
        <v>Ineficiente</v>
      </c>
      <c r="ET67" s="33" t="str">
        <f>IF(VLOOKUP(BM67,Fundamentus!A:U,16,FALSE)&lt;0.1,"Oper. Ineficiente",IF(VLOOKUP(BM67,Fundamentus!A:U,16,FALSE)&gt;0.1,"Oper.Eficiente","n/a"))</f>
        <v>Oper. Ineficiente</v>
      </c>
      <c r="EU67" s="34">
        <f>VLOOKUP(BM67,Fundamentus!A:U,14,FALSE)</f>
        <v>3.4799999999999998E-2</v>
      </c>
      <c r="EV67" s="17" t="str">
        <f>IF(VLOOKUP(BM67,Fundamentus!A:U,21,FALSE)&lt;0,"Negativo",IF(VLOOKUP(BM67,Fundamentus!A:U,21,FALSE)&lt;0.05,"Fraco",IF(VLOOKUP(BM67,Fundamentus!A:U,21,FALSE)&lt;0.1,"Bom",IF(VLOOKUP(BM67,Fundamentus!A:U,21,FALSE)&gt;0.1,"Muito bom","n/a"))))</f>
        <v>Muito bom</v>
      </c>
      <c r="EX67" s="29" t="str">
        <f>IF(VLOOKUP(BM67,Fundamentus!A:U,15,FALSE)&gt;1,"Bom",IF(VLOOKUP(BM67,Fundamentus!A:U,15,FALSE)&lt;1,"Ruim","n/a"))</f>
        <v>Bom</v>
      </c>
      <c r="EY67" s="17" t="str">
        <f>IF(VLOOKUP(BM67,Fundamentus!A:U,20,FALSE)&lt;0.5,"Baixa",IF(VLOOKUP(BM67,Fundamentus!A:U,20,FALSE)&lt;1,"Moderada",IF(VLOOKUP(BM67,Fundamentus!A:U,20,FALSE)&lt;2,"Alerta",IF(VLOOKUP(BM67,Fundamentus!A:U,20,FALSE)&gt;2,"Alta","n/a"))))</f>
        <v>Alerta</v>
      </c>
      <c r="EZ67" s="10"/>
    </row>
    <row r="68" spans="1:156" s="2" customFormat="1" ht="11.25" x14ac:dyDescent="0.2">
      <c r="A68" s="4">
        <v>18.46</v>
      </c>
      <c r="B68" s="4">
        <v>18</v>
      </c>
      <c r="C68" s="4">
        <v>18.29</v>
      </c>
      <c r="D68" s="4">
        <v>17.8</v>
      </c>
      <c r="E68" s="4">
        <v>17.510000000000002</v>
      </c>
      <c r="F68" s="4">
        <v>17.21</v>
      </c>
      <c r="G68" s="4">
        <v>17.03</v>
      </c>
      <c r="H68" s="4">
        <v>17.7</v>
      </c>
      <c r="I68" s="4">
        <v>19.39</v>
      </c>
      <c r="J68" s="4">
        <v>20.25</v>
      </c>
      <c r="K68" s="4">
        <v>20.52</v>
      </c>
      <c r="L68" s="4">
        <v>20.49</v>
      </c>
      <c r="M68" s="4">
        <v>19.34</v>
      </c>
      <c r="N68" s="4">
        <v>18.97</v>
      </c>
      <c r="O68" s="4">
        <v>18.47</v>
      </c>
      <c r="P68" s="4">
        <v>18.25</v>
      </c>
      <c r="Q68" s="4">
        <v>19.190000000000001</v>
      </c>
      <c r="R68" s="4">
        <v>19.739999999999998</v>
      </c>
      <c r="S68" s="4">
        <v>20.100000000000001</v>
      </c>
      <c r="T68" s="4">
        <v>20.41</v>
      </c>
      <c r="U68" s="4">
        <v>20.350000000000001</v>
      </c>
      <c r="V68" s="4">
        <v>20.350000000000001</v>
      </c>
      <c r="W68" s="4">
        <v>21.08</v>
      </c>
      <c r="X68" s="4">
        <v>20.84</v>
      </c>
      <c r="Y68" s="4">
        <v>22.26</v>
      </c>
      <c r="Z68" s="4">
        <v>22.33</v>
      </c>
      <c r="AA68" s="4">
        <v>21.1</v>
      </c>
      <c r="AB68" s="4">
        <v>20.8</v>
      </c>
      <c r="AC68" s="4">
        <v>20.73</v>
      </c>
      <c r="AD68" s="4">
        <v>20.65</v>
      </c>
      <c r="AE68" s="4">
        <v>20.36</v>
      </c>
      <c r="AF68" s="4">
        <v>20.97</v>
      </c>
      <c r="AG68" s="4">
        <v>21.28</v>
      </c>
      <c r="AH68" s="4">
        <v>20.25</v>
      </c>
      <c r="AI68" s="4">
        <v>20.59</v>
      </c>
      <c r="AJ68" s="4">
        <v>20.38</v>
      </c>
      <c r="AK68" s="4">
        <v>20.34</v>
      </c>
      <c r="AL68" s="4">
        <v>20.88</v>
      </c>
      <c r="AM68" s="4">
        <v>21.38</v>
      </c>
      <c r="AN68" s="4">
        <v>21.65</v>
      </c>
      <c r="AO68" s="4">
        <v>21.61</v>
      </c>
      <c r="AP68" s="4">
        <v>23.29</v>
      </c>
      <c r="AQ68" s="4">
        <v>23.79</v>
      </c>
      <c r="AR68" s="4">
        <v>23.77</v>
      </c>
      <c r="AS68" s="4">
        <v>25.2</v>
      </c>
      <c r="AT68" s="4">
        <v>26.38</v>
      </c>
      <c r="AU68" s="4">
        <v>27.3</v>
      </c>
      <c r="AV68" s="4">
        <v>27.47</v>
      </c>
      <c r="AW68" s="4">
        <v>26.99</v>
      </c>
      <c r="AX68" s="4">
        <v>27.3</v>
      </c>
      <c r="AY68" s="12">
        <v>27.69</v>
      </c>
      <c r="AZ68" s="12">
        <v>28.79</v>
      </c>
      <c r="BA68" s="12">
        <v>29.24</v>
      </c>
      <c r="BB68" s="15">
        <v>28.78</v>
      </c>
      <c r="BC68" s="52">
        <v>27.33</v>
      </c>
      <c r="BD68" s="52">
        <v>26.15</v>
      </c>
      <c r="BE68" s="52">
        <v>26.34</v>
      </c>
      <c r="BF68" s="52">
        <v>26.88</v>
      </c>
      <c r="BG68" s="67">
        <v>27.03</v>
      </c>
      <c r="BH68" s="52">
        <v>26.86</v>
      </c>
      <c r="BI68" s="52">
        <v>27.01</v>
      </c>
      <c r="BJ68" s="52">
        <v>27.74</v>
      </c>
      <c r="BK68" s="52">
        <v>23.91</v>
      </c>
      <c r="BL68" s="52" cm="1">
        <f t="array" aca="1" ref="BL68" ca="1">_FV(EC68,"Preço")</f>
        <v>23.91</v>
      </c>
      <c r="BM68" s="69" t="s">
        <v>65</v>
      </c>
      <c r="BN68" s="36" cm="1">
        <f t="array" aca="1" ref="BN68" ca="1">_FV(EC68,"Média de volume",TRUE)</f>
        <v>418810</v>
      </c>
      <c r="BO68" s="36">
        <v>1832000</v>
      </c>
      <c r="BP68" s="36" cm="1">
        <f t="array" aca="1" ref="BP68" ca="1">_FV(EC68,"Volume")</f>
        <v>1832000</v>
      </c>
      <c r="BQ68" s="24" cm="1">
        <f t="array" aca="1" ref="BQ68" ca="1">_FV(EC68,"Beta")</f>
        <v>0.98460000000000003</v>
      </c>
      <c r="BR68" s="71" cm="1">
        <f t="array" aca="1" ref="BR68" ca="1">_FV(EC68,"Variação (%)",TRUE)</f>
        <v>-8.5660000000000014E-2</v>
      </c>
      <c r="BT68" s="17" cm="1">
        <f t="array" aca="1" ref="BT68" ca="1">_FV(EC68,"Baixo")</f>
        <v>23.89</v>
      </c>
      <c r="BU68" s="17" cm="1">
        <f t="array" aca="1" ref="BU68" ca="1">_FV(EC68,"Alto")</f>
        <v>24.99</v>
      </c>
      <c r="BV68" s="24"/>
      <c r="BW68" s="63">
        <f ca="1">SQRT(22.5*(BL68/VLOOKUP(BM68,Fundamentus!A:U,3,FALSE))*(BL68/VLOOKUP(BM68,Fundamentus!A:U,4,FALSE)))</f>
        <v>12.998558771883905</v>
      </c>
      <c r="BY68" s="62">
        <f t="shared" ca="1" si="24"/>
        <v>0</v>
      </c>
      <c r="BZ68" s="8"/>
      <c r="CA68" s="61">
        <f t="shared" si="25"/>
        <v>17.03</v>
      </c>
      <c r="CB68" s="61">
        <f t="shared" si="26"/>
        <v>29.24</v>
      </c>
      <c r="CC68" s="61">
        <f t="shared" si="27"/>
        <v>22.262539682539682</v>
      </c>
      <c r="CD68" s="14"/>
      <c r="CE68" s="35">
        <f t="shared" si="1"/>
        <v>23.520447020702136</v>
      </c>
      <c r="CF68" s="15">
        <f t="shared" si="28"/>
        <v>25.97400000000016</v>
      </c>
      <c r="CG68" s="35">
        <f t="shared" si="2"/>
        <v>28.427552979298184</v>
      </c>
      <c r="CI68" s="14"/>
      <c r="CJ68" s="17">
        <f t="shared" si="3"/>
        <v>7.8900000000000006</v>
      </c>
      <c r="CK68" s="17">
        <f t="shared" si="4"/>
        <v>12.46</v>
      </c>
      <c r="CL68" s="17">
        <f t="shared" si="5"/>
        <v>20.099999999999998</v>
      </c>
      <c r="CM68" s="38">
        <f t="shared" si="29"/>
        <v>24.669999999999998</v>
      </c>
      <c r="CN68" s="17">
        <f t="shared" si="6"/>
        <v>32.309999999999995</v>
      </c>
      <c r="CO68" s="17">
        <f t="shared" si="7"/>
        <v>36.879999999999995</v>
      </c>
      <c r="CP68" s="17">
        <f t="shared" si="8"/>
        <v>44.519999999999996</v>
      </c>
      <c r="CQ68" s="2" cm="1">
        <f t="array" aca="1" ref="CQ68" ca="1">MAX(_xlfn._xlws.FILTER(CJ68:CP68,CJ68:CP68&lt;BL68))</f>
        <v>20.099999999999998</v>
      </c>
      <c r="CR68" s="2" cm="1">
        <f t="array" aca="1" ref="CR68" ca="1">MIN(_xlfn._xlws.FILTER($CJ68:$CP68,$CJ68:$CP68&gt;BL68))</f>
        <v>24.669999999999998</v>
      </c>
      <c r="CS68" s="16">
        <f t="shared" ca="1" si="80"/>
        <v>0.22736318407960199</v>
      </c>
      <c r="CT68" s="20">
        <f t="shared" ca="1" si="81"/>
        <v>-0.11368159203980099</v>
      </c>
      <c r="CU68" s="20">
        <f t="shared" ca="1" si="82"/>
        <v>-7.5787728026533996E-2</v>
      </c>
      <c r="CV68" s="20">
        <f t="shared" ca="1" si="83"/>
        <v>-4.5472636815920398E-2</v>
      </c>
      <c r="CW68" s="20">
        <f t="shared" ca="1" si="84"/>
        <v>-2.5262576008844666E-2</v>
      </c>
      <c r="CX68" s="20">
        <f t="shared" ca="1" si="85"/>
        <v>-1.337430494585894E-2</v>
      </c>
      <c r="CY68" s="20">
        <f t="shared" ca="1" si="86"/>
        <v>-6.8897934569576358E-3</v>
      </c>
      <c r="CZ68" s="20">
        <f t="shared" ca="1" si="87"/>
        <v>-3.4978951396861845E-3</v>
      </c>
      <c r="DA68" s="21">
        <f t="shared" ca="1" si="88"/>
        <v>3.4978951396861845E-3</v>
      </c>
      <c r="DB68" s="21">
        <f t="shared" ca="1" si="89"/>
        <v>6.8897934569576358E-3</v>
      </c>
      <c r="DC68" s="21">
        <f t="shared" ca="1" si="90"/>
        <v>1.337430494585894E-2</v>
      </c>
      <c r="DD68" s="21">
        <f t="shared" ca="1" si="91"/>
        <v>2.5262576008844666E-2</v>
      </c>
      <c r="DE68" s="21">
        <f t="shared" ca="1" si="92"/>
        <v>4.5472636815920398E-2</v>
      </c>
      <c r="DF68" s="21">
        <f t="shared" ca="1" si="93"/>
        <v>7.5787728026533996E-2</v>
      </c>
      <c r="DG68" s="21">
        <f t="shared" ca="1" si="94"/>
        <v>0.11368159203980099</v>
      </c>
      <c r="DI68" s="16" cm="1">
        <f t="array" aca="1" ref="DI68" ca="1">MAX(_xlfn._xlws.FILTER(CT68:DG68,CT68:DG68&lt;BR68))</f>
        <v>-0.11368159203980099</v>
      </c>
      <c r="DJ68" s="16" cm="1">
        <f t="array" aca="1" ref="DJ68" ca="1">MIN(_xlfn._xlws.FILTER(CT68:DG68,CT68:DG68&gt;BR68))</f>
        <v>-7.5787728026533996E-2</v>
      </c>
      <c r="DK68" s="2" cm="1">
        <f t="array" aca="1" ref="DK68" ca="1">_FV(EC68,"Fechamento anterior",TRUE)</f>
        <v>26.15</v>
      </c>
      <c r="DL68" s="28">
        <f t="shared" ca="1" si="15"/>
        <v>0.73948479358690677</v>
      </c>
      <c r="DM68" s="15">
        <f t="shared" ca="1" si="95"/>
        <v>23.177226368159204</v>
      </c>
      <c r="DN68" s="15">
        <f t="shared" ca="1" si="96"/>
        <v>24.168150912106135</v>
      </c>
      <c r="DO68" s="9"/>
      <c r="DP68" s="9"/>
      <c r="DQ68" s="9"/>
      <c r="DR68" s="89">
        <v>4.3763475688957387E-3</v>
      </c>
      <c r="DS68" s="89">
        <v>4.5203000728239462E-3</v>
      </c>
      <c r="DT68" s="89">
        <v>9.5288578466527375E-3</v>
      </c>
      <c r="DU68" s="89">
        <v>3.7893864013266998E-2</v>
      </c>
      <c r="DV68" s="89">
        <f t="shared" ca="1" si="18"/>
        <v>3.7893864013266998E-2</v>
      </c>
      <c r="DW68" s="72">
        <f t="shared" ca="1" si="19"/>
        <v>-0.84122903292297457</v>
      </c>
      <c r="DX68" s="37"/>
      <c r="DY68" s="35">
        <f t="shared" si="39"/>
        <v>1.226776489649013</v>
      </c>
      <c r="DZ68" s="56"/>
      <c r="EA68" s="56"/>
      <c r="EC68" s="2" t="e" vm="68">
        <v>#VALUE!</v>
      </c>
      <c r="EE68" s="10" cm="1">
        <f t="array" aca="1" ref="EE68" ca="1">_FV(EC68,"Ações em circulação",TRUE)</f>
        <v>279272300</v>
      </c>
      <c r="EF68" s="18">
        <f>VLOOKUP(BM68,Fundamentus!A:U,5,FALSE)</f>
        <v>1.6379999999999999</v>
      </c>
      <c r="EG68" s="2">
        <f t="shared" ca="1" si="20"/>
        <v>4076557199.6336999</v>
      </c>
      <c r="EH68" s="17">
        <v>306964757.13241762</v>
      </c>
      <c r="EI68" s="17">
        <f t="shared" ca="1" si="21"/>
        <v>306964757.13241762</v>
      </c>
      <c r="EK68" s="16">
        <f t="shared" ca="1" si="97"/>
        <v>0</v>
      </c>
      <c r="EL68" s="32" t="str">
        <f>IF(VLOOKUP(BM68,Fundamentus!A:U,3,FALSE)&lt;15,"Bom",IF(VLOOKUP(BM68,Fundamentus!A:U,3,FALSE)&gt;15,"Ruim","n/a"))</f>
        <v>Ruim</v>
      </c>
      <c r="EM68" s="28" t="str">
        <f>IF(VLOOKUP(BM68,Fundamentus!A:U,4,FALSE)&lt;1,"Baixo",IF(VLOOKUP(BM68,Fundamentus!A:U,4,FALSE)&lt;1.5,"Moderado",IF(VLOOKUP(BM68,Fundamentus!A:U,4,FALSE)&gt;1.5,"Alto","n/a")))</f>
        <v>Alto</v>
      </c>
      <c r="EN68" s="17" t="str">
        <f>IF(VLOOKUP(BM68,Fundamentus!A:U,8,FALSE)&lt;0,"Risco elevado",IF(VLOOKUP(BM68,Fundamentus!A:U,8,FALSE)&lt;1,"Saudável",IF(VLOOKUP(BM68,Fundamentus!A:U,8,FALSE)&lt;3,"Estável",IF(VLOOKUP(BM68,Fundamentus!A:U,8,FALSE)&gt;3,"Alerta","n/a"))))</f>
        <v>Alerta</v>
      </c>
      <c r="EO68" s="28" t="str">
        <f t="shared" si="23"/>
        <v>Bom</v>
      </c>
      <c r="EP68" s="17" t="str">
        <f>IF(VLOOKUP(BM68,Fundamentus!A:U,12,FALSE)&lt;2,"Subvalorizada",IF(VLOOKUP(BM68,Fundamentus!A:U,12,FALSE)&lt;6,"Muita barata",IF(VLOOKUP(BM68,Fundamentus!A:U,12,FALSE)&lt;6,"Barata",IF(VLOOKUP(BM68,Fundamentus!A:U,12,FALSE)&lt;8,"Atrativa",IF(VLOOKUP(BM68,Fundamentus!A:U,12,FALSE)&gt;8,"Supervalorizada","n/a")))))</f>
        <v>Supervalorizada</v>
      </c>
      <c r="ER68" s="17" t="str">
        <f>IF(VLOOKUP(BM68,Fundamentus!A:U,17,FALSE)&lt;0.1,"Fraco retorno",IF(VLOOKUP(BM68,Fundamentus!A:U,17,FALSE)&gt;0.1,"Bom retorno","n/a"))</f>
        <v>Bom retorno</v>
      </c>
      <c r="ES68" s="17" t="str">
        <f>IF(VLOOKUP(BM68,Fundamentus!A:U,16,FALSE)&lt;0.1,"Ineficiente",IF(VLOOKUP(BM68,Fundamentus!A:U,16,FALSE)&gt;0.1,"Eficiente","n/a"))</f>
        <v>Eficiente</v>
      </c>
      <c r="ET68" s="33" t="str">
        <f>IF(VLOOKUP(BM68,Fundamentus!A:U,16,FALSE)&lt;0.1,"Oper. Ineficiente",IF(VLOOKUP(BM68,Fundamentus!A:U,16,FALSE)&gt;0.1,"Oper.Eficiente","n/a"))</f>
        <v>Oper.Eficiente</v>
      </c>
      <c r="EU68" s="34">
        <f>VLOOKUP(BM68,Fundamentus!A:U,14,FALSE)</f>
        <v>7.5300000000000006E-2</v>
      </c>
      <c r="EV68" s="17" t="str">
        <f>IF(VLOOKUP(BM68,Fundamentus!A:U,21,FALSE)&lt;0,"Negativo",IF(VLOOKUP(BM68,Fundamentus!A:U,21,FALSE)&lt;0.05,"Fraco",IF(VLOOKUP(BM68,Fundamentus!A:U,21,FALSE)&lt;0.1,"Bom",IF(VLOOKUP(BM68,Fundamentus!A:U,21,FALSE)&gt;0.1,"Muito bom","n/a"))))</f>
        <v>Muito bom</v>
      </c>
      <c r="EX68" s="29" t="str">
        <f>IF(VLOOKUP(BM68,Fundamentus!A:U,15,FALSE)&gt;1,"Bom",IF(VLOOKUP(BM68,Fundamentus!A:U,15,FALSE)&lt;1,"Ruim","n/a"))</f>
        <v>Bom</v>
      </c>
      <c r="EY68" s="17" t="str">
        <f>IF(VLOOKUP(BM68,Fundamentus!A:U,20,FALSE)&lt;0.5,"Baixa",IF(VLOOKUP(BM68,Fundamentus!A:U,20,FALSE)&lt;1,"Moderada",IF(VLOOKUP(BM68,Fundamentus!A:U,20,FALSE)&lt;2,"Alerta",IF(VLOOKUP(BM68,Fundamentus!A:U,20,FALSE)&gt;2,"Alta","n/a"))))</f>
        <v>Alerta</v>
      </c>
    </row>
    <row r="69" spans="1:156" s="2" customFormat="1" ht="11.25" x14ac:dyDescent="0.2">
      <c r="A69" s="4">
        <v>9.69</v>
      </c>
      <c r="B69" s="4">
        <v>9.68</v>
      </c>
      <c r="C69" s="4">
        <v>9.74</v>
      </c>
      <c r="D69" s="4">
        <v>9.7899999999999991</v>
      </c>
      <c r="E69" s="4">
        <v>9.64</v>
      </c>
      <c r="F69" s="4">
        <v>9.8699999999999992</v>
      </c>
      <c r="G69" s="4">
        <v>9.73</v>
      </c>
      <c r="H69" s="4">
        <v>9.93</v>
      </c>
      <c r="I69" s="4">
        <v>9.9600000000000009</v>
      </c>
      <c r="J69" s="4">
        <v>10.14</v>
      </c>
      <c r="K69" s="4">
        <v>10.49</v>
      </c>
      <c r="L69" s="4">
        <v>10.199999999999999</v>
      </c>
      <c r="M69" s="4">
        <v>10.32</v>
      </c>
      <c r="N69" s="4">
        <v>10.050000000000001</v>
      </c>
      <c r="O69" s="4">
        <v>10.32</v>
      </c>
      <c r="P69" s="4">
        <v>10.17</v>
      </c>
      <c r="Q69" s="4">
        <v>10.47</v>
      </c>
      <c r="R69" s="4">
        <v>10.45</v>
      </c>
      <c r="S69" s="4">
        <v>10.28</v>
      </c>
      <c r="T69" s="4">
        <v>10.39</v>
      </c>
      <c r="U69" s="4">
        <v>10.18</v>
      </c>
      <c r="V69" s="4">
        <v>10.130000000000001</v>
      </c>
      <c r="W69" s="4">
        <v>9.7100000000000009</v>
      </c>
      <c r="X69" s="4">
        <v>9.6</v>
      </c>
      <c r="Y69" s="4">
        <v>9.58</v>
      </c>
      <c r="Z69" s="4">
        <v>9.65</v>
      </c>
      <c r="AA69" s="4">
        <v>9.3000000000000007</v>
      </c>
      <c r="AB69" s="4">
        <v>9.39</v>
      </c>
      <c r="AC69" s="4">
        <v>9.5</v>
      </c>
      <c r="AD69" s="4">
        <v>9.4499999999999993</v>
      </c>
      <c r="AE69" s="4">
        <v>9.17</v>
      </c>
      <c r="AF69" s="4">
        <v>9.01</v>
      </c>
      <c r="AG69" s="4">
        <v>9.07</v>
      </c>
      <c r="AH69" s="4">
        <v>8.83</v>
      </c>
      <c r="AI69" s="4">
        <v>8.75</v>
      </c>
      <c r="AJ69" s="4">
        <v>8.69</v>
      </c>
      <c r="AK69" s="4">
        <v>8.9600000000000009</v>
      </c>
      <c r="AL69" s="4">
        <v>9.02</v>
      </c>
      <c r="AM69" s="4">
        <v>8.9700000000000006</v>
      </c>
      <c r="AN69" s="4">
        <v>9.2100000000000009</v>
      </c>
      <c r="AO69" s="4">
        <v>9.17</v>
      </c>
      <c r="AP69" s="4">
        <v>9.57</v>
      </c>
      <c r="AQ69" s="4">
        <v>9.35</v>
      </c>
      <c r="AR69" s="4">
        <v>9.1</v>
      </c>
      <c r="AS69" s="4">
        <v>9.2899999999999991</v>
      </c>
      <c r="AT69" s="4">
        <v>9.67</v>
      </c>
      <c r="AU69" s="4">
        <v>9.7899999999999991</v>
      </c>
      <c r="AV69" s="4">
        <v>9.64</v>
      </c>
      <c r="AW69" s="4">
        <v>9.7799999999999994</v>
      </c>
      <c r="AX69" s="4">
        <v>9.81</v>
      </c>
      <c r="AY69" s="12">
        <v>9.51</v>
      </c>
      <c r="AZ69" s="12">
        <v>9.99</v>
      </c>
      <c r="BA69" s="12">
        <v>9.9600000000000009</v>
      </c>
      <c r="BB69" s="15">
        <v>9.84</v>
      </c>
      <c r="BC69" s="52">
        <v>9.9</v>
      </c>
      <c r="BD69" s="52">
        <v>9.99</v>
      </c>
      <c r="BE69" s="52">
        <v>10.14</v>
      </c>
      <c r="BF69" s="52">
        <v>9.61</v>
      </c>
      <c r="BG69" s="67">
        <v>9.6300000000000008</v>
      </c>
      <c r="BH69" s="52">
        <v>9.6199999999999992</v>
      </c>
      <c r="BI69" s="52">
        <v>9.83</v>
      </c>
      <c r="BJ69" s="52">
        <v>9.86</v>
      </c>
      <c r="BK69" s="52">
        <v>9.6199999999999992</v>
      </c>
      <c r="BL69" s="52" cm="1">
        <f t="array" aca="1" ref="BL69" ca="1">_FV(EC69,"Preço")</f>
        <v>9.6199999999999992</v>
      </c>
      <c r="BM69" s="69" t="s">
        <v>66</v>
      </c>
      <c r="BN69" s="36" cm="1">
        <f t="array" aca="1" ref="BN69" ca="1">_FV(EC69,"Média de volume",TRUE)</f>
        <v>883130</v>
      </c>
      <c r="BO69" s="36">
        <v>7200</v>
      </c>
      <c r="BP69" s="36" cm="1">
        <f t="array" aca="1" ref="BP69" ca="1">_FV(EC69,"Volume")</f>
        <v>7200</v>
      </c>
      <c r="BQ69" s="24" cm="1">
        <f t="array" aca="1" ref="BQ69" ca="1">_FV(EC69,"Beta")</f>
        <v>0.62519999999999998</v>
      </c>
      <c r="BR69" s="71" cm="1">
        <f t="array" aca="1" ref="BR69" ca="1">_FV(EC69,"Variação (%)",TRUE)</f>
        <v>1.041E-3</v>
      </c>
      <c r="BT69" s="17" cm="1">
        <f t="array" aca="1" ref="BT69" ca="1">_FV(EC69,"Baixo")</f>
        <v>9.57</v>
      </c>
      <c r="BU69" s="17" cm="1">
        <f t="array" aca="1" ref="BU69" ca="1">_FV(EC69,"Alto")</f>
        <v>9.74</v>
      </c>
      <c r="BV69" s="24"/>
      <c r="BW69" s="63">
        <f ca="1">SQRT(22.5*(BL69/VLOOKUP(BM69,Fundamentus!A:U,3,FALSE))*(BL69/VLOOKUP(BM69,Fundamentus!A:U,4,FALSE)))</f>
        <v>14.850583993282395</v>
      </c>
      <c r="BY69" s="62">
        <f t="shared" ca="1" si="24"/>
        <v>0</v>
      </c>
      <c r="BZ69" s="8"/>
      <c r="CA69" s="61">
        <f t="shared" si="25"/>
        <v>8.69</v>
      </c>
      <c r="CB69" s="61">
        <f t="shared" si="26"/>
        <v>10.49</v>
      </c>
      <c r="CC69" s="61">
        <f t="shared" si="27"/>
        <v>9.6849206349206369</v>
      </c>
      <c r="CD69" s="14"/>
      <c r="CE69" s="35">
        <f t="shared" si="1"/>
        <v>9.5208490362833569</v>
      </c>
      <c r="CF69" s="15">
        <f t="shared" si="28"/>
        <v>9.734</v>
      </c>
      <c r="CG69" s="35">
        <f t="shared" si="2"/>
        <v>9.9471509637166431</v>
      </c>
      <c r="CI69" s="14"/>
      <c r="CJ69" s="17">
        <f t="shared" si="3"/>
        <v>7.0699999999999985</v>
      </c>
      <c r="CK69" s="17">
        <f t="shared" si="4"/>
        <v>7.879999999999999</v>
      </c>
      <c r="CL69" s="17">
        <f t="shared" si="5"/>
        <v>8.8699999999999992</v>
      </c>
      <c r="CM69" s="38">
        <f t="shared" si="29"/>
        <v>9.68</v>
      </c>
      <c r="CN69" s="17">
        <f t="shared" si="6"/>
        <v>10.67</v>
      </c>
      <c r="CO69" s="17">
        <f t="shared" si="7"/>
        <v>11.48</v>
      </c>
      <c r="CP69" s="17">
        <f t="shared" si="8"/>
        <v>12.47</v>
      </c>
      <c r="CQ69" s="2" cm="1">
        <f t="array" aca="1" ref="CQ69" ca="1">MAX(_xlfn._xlws.FILTER(CJ69:CP69,CJ69:CP69&lt;BL69))</f>
        <v>8.8699999999999992</v>
      </c>
      <c r="CR69" s="2" cm="1">
        <f t="array" aca="1" ref="CR69" ca="1">MIN(_xlfn._xlws.FILTER($CJ69:$CP69,$CJ69:$CP69&gt;BL69))</f>
        <v>9.68</v>
      </c>
      <c r="CS69" s="16">
        <f t="shared" ca="1" si="80"/>
        <v>9.1319052987598681E-2</v>
      </c>
      <c r="CT69" s="20">
        <f t="shared" ca="1" si="81"/>
        <v>-4.5659526493799341E-2</v>
      </c>
      <c r="CU69" s="20">
        <f t="shared" ca="1" si="82"/>
        <v>-3.0439684329199562E-2</v>
      </c>
      <c r="CV69" s="20">
        <f t="shared" ca="1" si="83"/>
        <v>-1.8263810597519737E-2</v>
      </c>
      <c r="CW69" s="20">
        <f t="shared" ca="1" si="84"/>
        <v>-1.0146561443066519E-2</v>
      </c>
      <c r="CX69" s="20">
        <f t="shared" ca="1" si="85"/>
        <v>-5.3717089992705103E-3</v>
      </c>
      <c r="CY69" s="20">
        <f t="shared" ca="1" si="86"/>
        <v>-2.7672440299272329E-3</v>
      </c>
      <c r="CZ69" s="20">
        <f t="shared" ca="1" si="87"/>
        <v>-1.4049085075015181E-3</v>
      </c>
      <c r="DA69" s="21">
        <f t="shared" ca="1" si="88"/>
        <v>1.4049085075015181E-3</v>
      </c>
      <c r="DB69" s="21">
        <f t="shared" ca="1" si="89"/>
        <v>2.7672440299272329E-3</v>
      </c>
      <c r="DC69" s="21">
        <f t="shared" ca="1" si="90"/>
        <v>5.3717089992705103E-3</v>
      </c>
      <c r="DD69" s="21">
        <f t="shared" ca="1" si="91"/>
        <v>1.0146561443066519E-2</v>
      </c>
      <c r="DE69" s="21">
        <f t="shared" ca="1" si="92"/>
        <v>1.8263810597519737E-2</v>
      </c>
      <c r="DF69" s="21">
        <f t="shared" ca="1" si="93"/>
        <v>3.0439684329199562E-2</v>
      </c>
      <c r="DG69" s="21">
        <f t="shared" ca="1" si="94"/>
        <v>4.5659526493799341E-2</v>
      </c>
      <c r="DI69" s="16" cm="1">
        <f t="array" aca="1" ref="DI69" ca="1">MAX(_xlfn._xlws.FILTER(CT69:DG69,CT69:DG69&lt;BR69))</f>
        <v>-1.4049085075015181E-3</v>
      </c>
      <c r="DJ69" s="16" cm="1">
        <f t="array" aca="1" ref="DJ69" ca="1">MIN(_xlfn._xlws.FILTER(CT69:DG69,CT69:DG69&gt;BR69))</f>
        <v>1.4049085075015181E-3</v>
      </c>
      <c r="DK69" s="2" cm="1">
        <f t="array" aca="1" ref="DK69" ca="1">_FV(EC69,"Fechamento anterior",TRUE)</f>
        <v>9.61</v>
      </c>
      <c r="DL69" s="28">
        <f t="shared" ca="1" si="15"/>
        <v>0.87033825361953832</v>
      </c>
      <c r="DM69" s="15">
        <f t="shared" ca="1" si="95"/>
        <v>9.5964988292429094</v>
      </c>
      <c r="DN69" s="15">
        <f t="shared" ca="1" si="96"/>
        <v>9.6235011707570894</v>
      </c>
      <c r="DO69" s="9"/>
      <c r="DP69" s="9"/>
      <c r="DQ69" s="9"/>
      <c r="DR69" s="89">
        <v>1.3196294886435745E-2</v>
      </c>
      <c r="DS69" s="89">
        <v>4.9728557395421489E-3</v>
      </c>
      <c r="DT69" s="89">
        <v>2.9168692270296558E-3</v>
      </c>
      <c r="DU69" s="89">
        <v>2.8098170150030362E-3</v>
      </c>
      <c r="DV69" s="89">
        <f t="shared" ca="1" si="18"/>
        <v>2.8098170150030362E-3</v>
      </c>
      <c r="DW69" s="72">
        <f t="shared" ca="1" si="19"/>
        <v>-0.53483220536384324</v>
      </c>
      <c r="DX69" s="37"/>
      <c r="DY69" s="35">
        <f t="shared" si="39"/>
        <v>0.10657548185832116</v>
      </c>
      <c r="DZ69" s="56"/>
      <c r="EA69" s="56"/>
      <c r="EC69" s="2" t="e" vm="69">
        <v>#VALUE!</v>
      </c>
      <c r="EE69" s="10" cm="1">
        <f t="array" aca="1" ref="EE69" ca="1">_FV(EC69,"Ações em circulação",TRUE)</f>
        <v>329626900</v>
      </c>
      <c r="EF69" s="18">
        <f>VLOOKUP(BM69,Fundamentus!A:U,5,FALSE)</f>
        <v>2.2519999999999998</v>
      </c>
      <c r="EG69" s="2">
        <f t="shared" ca="1" si="20"/>
        <v>1408086491.1190052</v>
      </c>
      <c r="EH69" s="17">
        <v>646734125.37095904</v>
      </c>
      <c r="EI69" s="17">
        <f t="shared" ca="1" si="21"/>
        <v>646734125.37095904</v>
      </c>
      <c r="EK69" s="16">
        <f t="shared" ca="1" si="97"/>
        <v>0</v>
      </c>
      <c r="EL69" s="39" t="str">
        <f>IF(VLOOKUP(BM69,Fundamentus!A:U,3,FALSE)&lt;15,"Bom",IF(VLOOKUP(BM69,Fundamentus!A:U,3,FALSE)&gt;15,"Ruim","n/a"))</f>
        <v>Bom</v>
      </c>
      <c r="EM69" s="40" t="str">
        <f>IF(VLOOKUP(BM69,Fundamentus!A:U,4,FALSE)&lt;1,"Baixo",IF(VLOOKUP(BM69,Fundamentus!A:U,4,FALSE)&lt;1.5,"Moderado",IF(VLOOKUP(BM69,Fundamentus!A:U,4,FALSE)&gt;1.5,"Alto","n/a")))</f>
        <v>Moderado</v>
      </c>
      <c r="EN69" s="41" t="str">
        <f>IF(VLOOKUP(BM69,Fundamentus!A:U,8,FALSE)&lt;0,"Risco elevado",IF(VLOOKUP(BM69,Fundamentus!A:U,8,FALSE)&lt;1,"Saudável",IF(VLOOKUP(BM69,Fundamentus!A:U,8,FALSE)&lt;3,"Estável",IF(VLOOKUP(BM69,Fundamentus!A:U,8,FALSE)&gt;3,"Alerta","n/a"))))</f>
        <v>Estável</v>
      </c>
      <c r="EO69" s="40" t="str">
        <f t="shared" si="23"/>
        <v>Bom</v>
      </c>
      <c r="EP69" s="41" t="str">
        <f>IF(VLOOKUP(BM69,Fundamentus!A:U,12,FALSE)&lt;2,"Subvalorizada",IF(VLOOKUP(BM69,Fundamentus!A:U,12,FALSE)&lt;6,"Muita barata",IF(VLOOKUP(BM69,Fundamentus!A:U,12,FALSE)&lt;6,"Barata",IF(VLOOKUP(BM69,Fundamentus!A:U,12,FALSE)&lt;8,"Atrativa",IF(VLOOKUP(BM69,Fundamentus!A:U,12,FALSE)&gt;8,"Supervalorizada","n/a")))))</f>
        <v>Atrativa</v>
      </c>
      <c r="ER69" s="41" t="str">
        <f>IF(VLOOKUP(BM69,Fundamentus!A:U,17,FALSE)&lt;0.1,"Fraco retorno",IF(VLOOKUP(BM69,Fundamentus!A:U,17,FALSE)&gt;0.1,"Bom retorno","n/a"))</f>
        <v>Bom retorno</v>
      </c>
      <c r="ES69" s="41" t="str">
        <f>IF(VLOOKUP(BM69,Fundamentus!A:U,16,FALSE)&lt;0.1,"Ineficiente",IF(VLOOKUP(BM69,Fundamentus!A:U,16,FALSE)&gt;0.1,"Eficiente","n/a"))</f>
        <v>Eficiente</v>
      </c>
      <c r="ET69" s="42" t="str">
        <f>IF(VLOOKUP(BM69,Fundamentus!A:U,16,FALSE)&lt;0.1,"Oper. Ineficiente",IF(VLOOKUP(BM69,Fundamentus!A:U,16,FALSE)&gt;0.1,"Oper.Eficiente","n/a"))</f>
        <v>Oper.Eficiente</v>
      </c>
      <c r="EU69" s="43">
        <f>VLOOKUP(BM69,Fundamentus!A:U,14,FALSE)</f>
        <v>0.45929999999999999</v>
      </c>
      <c r="EV69" s="41" t="str">
        <f>IF(VLOOKUP(BM69,Fundamentus!A:U,21,FALSE)&lt;0,"Negativo",IF(VLOOKUP(BM69,Fundamentus!A:U,21,FALSE)&lt;0.05,"Fraco",IF(VLOOKUP(BM69,Fundamentus!A:U,21,FALSE)&lt;0.1,"Bom",IF(VLOOKUP(BM69,Fundamentus!A:U,21,FALSE)&gt;0.1,"Muito bom","n/a"))))</f>
        <v>Negativo</v>
      </c>
      <c r="EX69" s="44" t="str">
        <f>IF(VLOOKUP(BM69,Fundamentus!A:U,15,FALSE)&gt;1,"Bom",IF(VLOOKUP(BM69,Fundamentus!A:U,15,FALSE)&lt;1,"Ruim","n/a"))</f>
        <v>Bom</v>
      </c>
      <c r="EY69" s="41" t="str">
        <f>IF(VLOOKUP(BM69,Fundamentus!A:U,20,FALSE)&lt;0.5,"Baixa",IF(VLOOKUP(BM69,Fundamentus!A:U,20,FALSE)&lt;1,"Moderada",IF(VLOOKUP(BM69,Fundamentus!A:U,20,FALSE)&lt;2,"Alerta",IF(VLOOKUP(BM69,Fundamentus!A:U,20,FALSE)&gt;2,"Alta","n/a"))))</f>
        <v>Alerta</v>
      </c>
    </row>
    <row r="70" spans="1:156" s="2" customFormat="1" ht="11.25" x14ac:dyDescent="0.2">
      <c r="A70" s="4">
        <v>4.71</v>
      </c>
      <c r="B70" s="4">
        <v>4.84</v>
      </c>
      <c r="C70" s="4">
        <v>4.84</v>
      </c>
      <c r="D70" s="4">
        <v>4.6399999999999997</v>
      </c>
      <c r="E70" s="4">
        <v>4.7</v>
      </c>
      <c r="F70" s="4">
        <v>4.71</v>
      </c>
      <c r="G70" s="4">
        <v>4.63</v>
      </c>
      <c r="H70" s="4">
        <v>4.6500000000000004</v>
      </c>
      <c r="I70" s="4">
        <v>4.8499999999999996</v>
      </c>
      <c r="J70" s="4">
        <v>5.15</v>
      </c>
      <c r="K70" s="4">
        <v>5.19</v>
      </c>
      <c r="L70" s="4">
        <v>5.05</v>
      </c>
      <c r="M70" s="4">
        <v>5.01</v>
      </c>
      <c r="N70" s="4">
        <v>4.78</v>
      </c>
      <c r="O70" s="4">
        <v>4.79</v>
      </c>
      <c r="P70" s="4">
        <v>4.66</v>
      </c>
      <c r="Q70" s="4">
        <v>4.8</v>
      </c>
      <c r="R70" s="4">
        <v>4.62</v>
      </c>
      <c r="S70" s="4">
        <v>4.6399999999999997</v>
      </c>
      <c r="T70" s="4">
        <v>4.8600000000000003</v>
      </c>
      <c r="U70" s="4">
        <v>4.9000000000000004</v>
      </c>
      <c r="V70" s="4">
        <v>4.84</v>
      </c>
      <c r="W70" s="4">
        <v>4.9400000000000004</v>
      </c>
      <c r="X70" s="4">
        <v>4.93</v>
      </c>
      <c r="Y70" s="4">
        <v>5.19</v>
      </c>
      <c r="Z70" s="4">
        <v>5.27</v>
      </c>
      <c r="AA70" s="4">
        <v>5.2</v>
      </c>
      <c r="AB70" s="4">
        <v>5.53</v>
      </c>
      <c r="AC70" s="4">
        <v>5.6</v>
      </c>
      <c r="AD70" s="4">
        <v>5.52</v>
      </c>
      <c r="AE70" s="4">
        <v>5.3</v>
      </c>
      <c r="AF70" s="4">
        <v>5.0199999999999996</v>
      </c>
      <c r="AG70" s="4">
        <v>4.87</v>
      </c>
      <c r="AH70" s="4">
        <v>4.34</v>
      </c>
      <c r="AI70" s="4">
        <v>4.4000000000000004</v>
      </c>
      <c r="AJ70" s="4">
        <v>4.22</v>
      </c>
      <c r="AK70" s="4">
        <v>4.32</v>
      </c>
      <c r="AL70" s="4">
        <v>4.88</v>
      </c>
      <c r="AM70" s="4">
        <v>5.16</v>
      </c>
      <c r="AN70" s="4">
        <v>5.31</v>
      </c>
      <c r="AO70" s="4">
        <v>5.26</v>
      </c>
      <c r="AP70" s="4">
        <v>5.49</v>
      </c>
      <c r="AQ70" s="4">
        <v>5.85</v>
      </c>
      <c r="AR70" s="4">
        <v>5.58</v>
      </c>
      <c r="AS70" s="4">
        <v>5.97</v>
      </c>
      <c r="AT70" s="4">
        <v>6.43</v>
      </c>
      <c r="AU70" s="4">
        <v>6.51</v>
      </c>
      <c r="AV70" s="4">
        <v>6.26</v>
      </c>
      <c r="AW70" s="4">
        <v>6.28</v>
      </c>
      <c r="AX70" s="4">
        <v>6.29</v>
      </c>
      <c r="AY70" s="12">
        <v>6.65</v>
      </c>
      <c r="AZ70" s="12">
        <v>7.02</v>
      </c>
      <c r="BA70" s="12">
        <v>6.96</v>
      </c>
      <c r="BB70" s="15">
        <v>7</v>
      </c>
      <c r="BC70" s="52">
        <v>7.13</v>
      </c>
      <c r="BD70" s="52">
        <v>7.17</v>
      </c>
      <c r="BE70" s="52">
        <v>7.79</v>
      </c>
      <c r="BF70" s="52">
        <v>7.8</v>
      </c>
      <c r="BG70" s="67">
        <v>7.64</v>
      </c>
      <c r="BH70" s="52">
        <v>7.78</v>
      </c>
      <c r="BI70" s="52">
        <v>7.2</v>
      </c>
      <c r="BJ70" s="52">
        <v>6.96</v>
      </c>
      <c r="BK70" s="52">
        <v>6.7</v>
      </c>
      <c r="BL70" s="52" cm="1">
        <f t="array" aca="1" ref="BL70" ca="1">_FV(EC70,"Preço")</f>
        <v>6.7</v>
      </c>
      <c r="BM70" s="69" t="s">
        <v>117</v>
      </c>
      <c r="BN70" s="36" cm="1">
        <f t="array" aca="1" ref="BN70" ca="1">_FV(EC70,"Média de volume",TRUE)</f>
        <v>394540</v>
      </c>
      <c r="BO70" s="36">
        <v>268200</v>
      </c>
      <c r="BP70" s="36" cm="1">
        <f t="array" aca="1" ref="BP70" ca="1">_FV(EC70,"Volume")</f>
        <v>268200</v>
      </c>
      <c r="BQ70" s="24" cm="1">
        <f t="array" aca="1" ref="BQ70" ca="1">_FV(EC70,"Beta")</f>
        <v>1.5291999999999999</v>
      </c>
      <c r="BR70" s="71" cm="1">
        <f t="array" aca="1" ref="BR70" ca="1">_FV(EC70,"Variação (%)",TRUE)</f>
        <v>9.0359999999999989E-3</v>
      </c>
      <c r="BT70" s="17" cm="1">
        <f t="array" aca="1" ref="BT70" ca="1">_FV(EC70,"Baixo")</f>
        <v>6.58</v>
      </c>
      <c r="BU70" s="17" cm="1">
        <f t="array" aca="1" ref="BU70" ca="1">_FV(EC70,"Alto")</f>
        <v>6.75</v>
      </c>
      <c r="BV70" s="24"/>
      <c r="BW70" s="60">
        <f ca="1">SQRT(22.5*(BL70/VLOOKUP(BM70,Fundamentus!A:U,3,FALSE))*(BL70/VLOOKUP(BM70,Fundamentus!A:U,4,FALSE)))</f>
        <v>11.660062614308966</v>
      </c>
      <c r="BY70" s="62">
        <f t="shared" ca="1" si="24"/>
        <v>0</v>
      </c>
      <c r="BZ70" s="8"/>
      <c r="CA70" s="61">
        <f t="shared" si="25"/>
        <v>4.22</v>
      </c>
      <c r="CB70" s="61">
        <f t="shared" si="26"/>
        <v>7.8</v>
      </c>
      <c r="CC70" s="61">
        <f t="shared" si="27"/>
        <v>5.5488888888888876</v>
      </c>
      <c r="CD70" s="14"/>
      <c r="CE70" s="35">
        <f t="shared" ref="CE70:CE133" si="98">CF70-DY70*2</f>
        <v>6.1419884150346249</v>
      </c>
      <c r="CF70" s="15">
        <f t="shared" si="28"/>
        <v>6.9859999999998763</v>
      </c>
      <c r="CG70" s="35">
        <f t="shared" ref="CG70:CG133" si="99">CF70+DY70*2</f>
        <v>7.8300115849651277</v>
      </c>
      <c r="CI70" s="14"/>
      <c r="CJ70" s="17">
        <f t="shared" ref="CJ70:CJ133" si="100">CA70-2*(CB70-CM70)</f>
        <v>1.2733333333333343</v>
      </c>
      <c r="CK70" s="17">
        <f t="shared" ref="CK70:CK133" si="101">CM70-(CB70-CA70)</f>
        <v>2.746666666666667</v>
      </c>
      <c r="CL70" s="17">
        <f t="shared" ref="CL70:CL133" si="102">2*CM70-CB70</f>
        <v>4.8533333333333344</v>
      </c>
      <c r="CM70" s="38">
        <f t="shared" si="29"/>
        <v>6.3266666666666671</v>
      </c>
      <c r="CN70" s="17">
        <f t="shared" ref="CN70:CN133" si="103">2*CM70-CA70</f>
        <v>8.4333333333333336</v>
      </c>
      <c r="CO70" s="17">
        <f t="shared" ref="CO70:CO133" si="104">CM70+(CB70-CA70)</f>
        <v>9.9066666666666663</v>
      </c>
      <c r="CP70" s="17">
        <f t="shared" ref="CP70:CP133" si="105">CB70+2*(CM70-CA70)</f>
        <v>12.013333333333335</v>
      </c>
      <c r="CQ70" s="2" cm="1">
        <f t="array" aca="1" ref="CQ70" ca="1">MAX(_xlfn._xlws.FILTER(CJ70:CP70,CJ70:CP70&lt;BL70))</f>
        <v>6.3266666666666671</v>
      </c>
      <c r="CR70" s="2" cm="1">
        <f t="array" aca="1" ref="CR70" ca="1">MIN(_xlfn._xlws.FILTER($CJ70:$CP70,$CJ70:$CP70&gt;BL70))</f>
        <v>8.4333333333333336</v>
      </c>
      <c r="CS70" s="16">
        <f t="shared" ca="1" si="80"/>
        <v>0.33298208640674387</v>
      </c>
      <c r="CT70" s="20">
        <f t="shared" ca="1" si="81"/>
        <v>-0.16649104320337194</v>
      </c>
      <c r="CU70" s="20">
        <f t="shared" ca="1" si="82"/>
        <v>-0.11099402880224796</v>
      </c>
      <c r="CV70" s="20">
        <f t="shared" ca="1" si="83"/>
        <v>-6.6596417281348769E-2</v>
      </c>
      <c r="CW70" s="20">
        <f t="shared" ca="1" si="84"/>
        <v>-3.6998009600749317E-2</v>
      </c>
      <c r="CX70" s="20">
        <f t="shared" ca="1" si="85"/>
        <v>-1.9587181553337874E-2</v>
      </c>
      <c r="CY70" s="20">
        <f t="shared" ca="1" si="86"/>
        <v>-1.0090366254749815E-2</v>
      </c>
      <c r="CZ70" s="20">
        <f t="shared" ca="1" si="87"/>
        <v>-5.1228013293345212E-3</v>
      </c>
      <c r="DA70" s="21">
        <f t="shared" ca="1" si="88"/>
        <v>5.1228013293345212E-3</v>
      </c>
      <c r="DB70" s="21">
        <f t="shared" ca="1" si="89"/>
        <v>1.0090366254749815E-2</v>
      </c>
      <c r="DC70" s="21">
        <f t="shared" ca="1" si="90"/>
        <v>1.9587181553337874E-2</v>
      </c>
      <c r="DD70" s="21">
        <f t="shared" ca="1" si="91"/>
        <v>3.6998009600749317E-2</v>
      </c>
      <c r="DE70" s="21">
        <f t="shared" ca="1" si="92"/>
        <v>6.6596417281348769E-2</v>
      </c>
      <c r="DF70" s="21">
        <f t="shared" ca="1" si="93"/>
        <v>0.11099402880224796</v>
      </c>
      <c r="DG70" s="21">
        <f t="shared" ca="1" si="94"/>
        <v>0.16649104320337194</v>
      </c>
      <c r="DI70" s="23" cm="1">
        <f t="array" aca="1" ref="DI70" ca="1">MAX(_xlfn._xlws.FILTER(CT70:DG70,CT70:DG70&lt;BR70))</f>
        <v>5.1228013293345212E-3</v>
      </c>
      <c r="DJ70" s="23" cm="1">
        <f t="array" aca="1" ref="DJ70" ca="1">MIN(_xlfn._xlws.FILTER(CT70:DG70,CT70:DG70&gt;BR70))</f>
        <v>1.0090366254749815E-2</v>
      </c>
      <c r="DK70" s="2" cm="1">
        <f t="array" aca="1" ref="DK70" ca="1">_FV(EC70,"Fechamento anterior",TRUE)</f>
        <v>6.64</v>
      </c>
      <c r="DL70" s="28">
        <f t="shared" ref="DL70:DL133" ca="1" si="106">(BL70-DM70)/(DN70-DM70)</f>
        <v>0.7877789838150322</v>
      </c>
      <c r="DM70" s="15">
        <f t="shared" ca="1" si="95"/>
        <v>6.6740154008267805</v>
      </c>
      <c r="DN70" s="15">
        <f t="shared" ca="1" si="96"/>
        <v>6.7070000319315382</v>
      </c>
      <c r="DO70" s="9"/>
      <c r="DP70" s="9"/>
      <c r="DQ70" s="9"/>
      <c r="DR70" s="89">
        <v>1.6767219708396158E-2</v>
      </c>
      <c r="DS70" s="89">
        <v>1.0154806396802685E-2</v>
      </c>
      <c r="DT70" s="89">
        <v>9.4968152985880593E-3</v>
      </c>
      <c r="DU70" s="89">
        <v>4.9675649254152937E-3</v>
      </c>
      <c r="DV70" s="89">
        <f t="shared" ref="DV70:DV133" ca="1" si="107">DJ70-DI70</f>
        <v>4.9675649254152937E-3</v>
      </c>
      <c r="DW70" s="72">
        <f t="shared" ref="DW70:DW133" ca="1" si="108">(BL70-CF70)/(CF70-CE70)</f>
        <v>-0.338857907989084</v>
      </c>
      <c r="DX70" s="37"/>
      <c r="DY70" s="35">
        <f t="shared" si="39"/>
        <v>0.42200579248262554</v>
      </c>
      <c r="DZ70" s="56"/>
      <c r="EA70" s="56"/>
      <c r="EC70" s="2" t="e" vm="70">
        <v>#VALUE!</v>
      </c>
      <c r="EE70" s="10" cm="1">
        <f t="array" aca="1" ref="EE70" ca="1">_FV(EC70,"Ações em circulação",TRUE)</f>
        <v>186617500</v>
      </c>
      <c r="EF70" s="18">
        <f>VLOOKUP(BM70,Fundamentus!A:U,5,FALSE)</f>
        <v>1.083</v>
      </c>
      <c r="EG70" s="2">
        <f t="shared" ref="EG70:EG133" ca="1" si="109">(BL70*EE70)/EF70</f>
        <v>1154512696.2142198</v>
      </c>
      <c r="EH70" s="17">
        <v>163825351.59279779</v>
      </c>
      <c r="EI70" s="17">
        <f t="shared" ref="EI70:EI133" ca="1" si="110">EG70*EU70</f>
        <v>163825351.59279779</v>
      </c>
      <c r="EK70" s="16">
        <f t="shared" ca="1" si="97"/>
        <v>0</v>
      </c>
      <c r="EL70" s="32" t="str">
        <f>IF(VLOOKUP(BM70,Fundamentus!A:U,3,FALSE)&lt;15,"Bom",IF(VLOOKUP(BM70,Fundamentus!A:U,3,FALSE)&gt;15,"Ruim","n/a"))</f>
        <v>Bom</v>
      </c>
      <c r="EM70" s="55" t="str">
        <f>IF(VLOOKUP(BM70,Fundamentus!A:U,4,FALSE)&lt;1,"Baixo",IF(VLOOKUP(BM70,Fundamentus!A:U,4,FALSE)&lt;1.5,"Moderado",IF(VLOOKUP(BM70,Fundamentus!A:U,4,FALSE)&gt;1.5,"Alto","n/a")))</f>
        <v>Baixo</v>
      </c>
      <c r="EN70" s="17" t="str">
        <f>IF(VLOOKUP(BM70,Fundamentus!A:U,8,FALSE)&lt;0,"Risco elevado",IF(VLOOKUP(BM70,Fundamentus!A:U,8,FALSE)&lt;1,"Saudável",IF(VLOOKUP(BM70,Fundamentus!A:U,8,FALSE)&lt;3,"Estável",IF(VLOOKUP(BM70,Fundamentus!A:U,8,FALSE)&gt;3,"Alerta","n/a"))))</f>
        <v>Saudável</v>
      </c>
      <c r="EO70" s="28" t="str">
        <f t="shared" ref="EO70:EO133" si="111">IF(EF70&gt;1,"Bom","Ruim")</f>
        <v>Bom</v>
      </c>
      <c r="EP70" s="17" t="str">
        <f>IF(VLOOKUP(BM70,Fundamentus!A:U,12,FALSE)&lt;2,"Subvalorizada",IF(VLOOKUP(BM70,Fundamentus!A:U,12,FALSE)&lt;6,"Muita barata",IF(VLOOKUP(BM70,Fundamentus!A:U,12,FALSE)&lt;6,"Barata",IF(VLOOKUP(BM70,Fundamentus!A:U,12,FALSE)&lt;8,"Atrativa",IF(VLOOKUP(BM70,Fundamentus!A:U,12,FALSE)&gt;8,"Supervalorizada","n/a")))))</f>
        <v>Supervalorizada</v>
      </c>
      <c r="ER70" s="17" t="str">
        <f>IF(VLOOKUP(BM70,Fundamentus!A:U,17,FALSE)&lt;0.1,"Fraco retorno",IF(VLOOKUP(BM70,Fundamentus!A:U,17,FALSE)&gt;0.1,"Bom retorno","n/a"))</f>
        <v>Bom retorno</v>
      </c>
      <c r="ES70" s="53" t="str">
        <f>IF(VLOOKUP(BM70,Fundamentus!A:U,16,FALSE)&lt;0.1,"Ineficiente",IF(VLOOKUP(BM70,Fundamentus!A:U,16,FALSE)&gt;0.1,"Eficiente","n/a"))</f>
        <v>Ineficiente</v>
      </c>
      <c r="ET70" s="54" t="str">
        <f>IF(VLOOKUP(BM70,Fundamentus!A:U,16,FALSE)&lt;0.1,"Oper. Ineficiente",IF(VLOOKUP(BM70,Fundamentus!A:U,16,FALSE)&gt;0.1,"Oper.Eficiente","n/a"))</f>
        <v>Oper. Ineficiente</v>
      </c>
      <c r="EU70" s="34">
        <f>VLOOKUP(BM70,Fundamentus!A:U,14,FALSE)</f>
        <v>0.1419</v>
      </c>
      <c r="EV70" s="17" t="str">
        <f>IF(VLOOKUP(BM70,Fundamentus!A:U,21,FALSE)&lt;0,"Negativo",IF(VLOOKUP(BM70,Fundamentus!A:U,21,FALSE)&lt;0.05,"Fraco",IF(VLOOKUP(BM70,Fundamentus!A:U,21,FALSE)&lt;0.1,"Bom",IF(VLOOKUP(BM70,Fundamentus!A:U,21,FALSE)&gt;0.1,"Muito bom","n/a"))))</f>
        <v>Muito bom</v>
      </c>
      <c r="EX70" s="29" t="str">
        <f>IF(VLOOKUP(BM70,Fundamentus!A:U,15,FALSE)&gt;1,"Bom",IF(VLOOKUP(BM70,Fundamentus!A:U,15,FALSE)&lt;1,"Ruim","n/a"))</f>
        <v>Bom</v>
      </c>
      <c r="EY70" s="17" t="str">
        <f>IF(VLOOKUP(BM70,Fundamentus!A:U,20,FALSE)&lt;0.5,"Baixa",IF(VLOOKUP(BM70,Fundamentus!A:U,20,FALSE)&lt;1,"Moderada",IF(VLOOKUP(BM70,Fundamentus!A:U,20,FALSE)&lt;2,"Alerta",IF(VLOOKUP(BM70,Fundamentus!A:U,20,FALSE)&gt;2,"Alta","n/a"))))</f>
        <v>Moderada</v>
      </c>
      <c r="EZ70" s="10"/>
    </row>
    <row r="71" spans="1:156" s="2" customFormat="1" ht="11.25" x14ac:dyDescent="0.2">
      <c r="A71" s="4">
        <v>26.12</v>
      </c>
      <c r="B71" s="4">
        <v>25.86</v>
      </c>
      <c r="C71" s="4">
        <v>25.74</v>
      </c>
      <c r="D71" s="4">
        <v>24.47</v>
      </c>
      <c r="E71" s="4">
        <v>24.16</v>
      </c>
      <c r="F71" s="4">
        <v>23.41</v>
      </c>
      <c r="G71" s="4">
        <v>23.29</v>
      </c>
      <c r="H71" s="4">
        <v>23.88</v>
      </c>
      <c r="I71" s="4">
        <v>24.44</v>
      </c>
      <c r="J71" s="4">
        <v>25.64</v>
      </c>
      <c r="K71" s="4">
        <v>25.99</v>
      </c>
      <c r="L71" s="4">
        <v>24.18</v>
      </c>
      <c r="M71" s="4">
        <v>24.82</v>
      </c>
      <c r="N71" s="4">
        <v>24.3</v>
      </c>
      <c r="O71" s="4">
        <v>24.98</v>
      </c>
      <c r="P71" s="4">
        <v>25</v>
      </c>
      <c r="Q71" s="4">
        <v>26.19</v>
      </c>
      <c r="R71" s="4">
        <v>26.25</v>
      </c>
      <c r="S71" s="4">
        <v>27.5</v>
      </c>
      <c r="T71" s="4">
        <v>28.25</v>
      </c>
      <c r="U71" s="4">
        <v>26.75</v>
      </c>
      <c r="V71" s="4">
        <v>26.85</v>
      </c>
      <c r="W71" s="4">
        <v>25.76</v>
      </c>
      <c r="X71" s="4">
        <v>26</v>
      </c>
      <c r="Y71" s="4">
        <v>27.76</v>
      </c>
      <c r="Z71" s="4">
        <v>29.05</v>
      </c>
      <c r="AA71" s="4">
        <v>29.36</v>
      </c>
      <c r="AB71" s="4">
        <v>31.09</v>
      </c>
      <c r="AC71" s="4">
        <v>31.32</v>
      </c>
      <c r="AD71" s="4">
        <v>31.35</v>
      </c>
      <c r="AE71" s="4">
        <v>30.6</v>
      </c>
      <c r="AF71" s="4">
        <v>31.71</v>
      </c>
      <c r="AG71" s="4">
        <v>31.11</v>
      </c>
      <c r="AH71" s="4">
        <v>29.45</v>
      </c>
      <c r="AI71" s="4">
        <v>29.4</v>
      </c>
      <c r="AJ71" s="4">
        <v>27.71</v>
      </c>
      <c r="AK71" s="4">
        <v>28.04</v>
      </c>
      <c r="AL71" s="4">
        <v>28.7</v>
      </c>
      <c r="AM71" s="4">
        <v>29.15</v>
      </c>
      <c r="AN71" s="4">
        <v>30.18</v>
      </c>
      <c r="AO71" s="4">
        <v>29.94</v>
      </c>
      <c r="AP71" s="4">
        <v>32.33</v>
      </c>
      <c r="AQ71" s="4">
        <v>33.01</v>
      </c>
      <c r="AR71" s="4">
        <v>32.299999999999997</v>
      </c>
      <c r="AS71" s="4">
        <v>33.729999999999997</v>
      </c>
      <c r="AT71" s="4">
        <v>34.49</v>
      </c>
      <c r="AU71" s="4">
        <v>35.049999999999997</v>
      </c>
      <c r="AV71" s="4">
        <v>33.39</v>
      </c>
      <c r="AW71" s="4">
        <v>33.89</v>
      </c>
      <c r="AX71" s="4">
        <v>34.14</v>
      </c>
      <c r="AY71" s="12">
        <v>34.909999999999997</v>
      </c>
      <c r="AZ71" s="12">
        <v>36.31</v>
      </c>
      <c r="BA71" s="12">
        <v>35.659999999999997</v>
      </c>
      <c r="BB71" s="15">
        <v>34.33</v>
      </c>
      <c r="BC71" s="52">
        <v>34.22</v>
      </c>
      <c r="BD71" s="52">
        <v>35.4</v>
      </c>
      <c r="BE71" s="52">
        <v>36.729999999999997</v>
      </c>
      <c r="BF71" s="52">
        <v>35.85</v>
      </c>
      <c r="BG71" s="67">
        <v>36.4</v>
      </c>
      <c r="BH71" s="52">
        <v>34.630000000000003</v>
      </c>
      <c r="BI71" s="52">
        <v>34.630000000000003</v>
      </c>
      <c r="BJ71" s="52">
        <v>36.72</v>
      </c>
      <c r="BK71" s="52">
        <v>35.340000000000003</v>
      </c>
      <c r="BL71" s="52" cm="1">
        <f t="array" aca="1" ref="BL71" ca="1">_FV(EC71,"Preço")</f>
        <v>35.340000000000003</v>
      </c>
      <c r="BM71" s="69" t="s">
        <v>68</v>
      </c>
      <c r="BN71" s="36" cm="1">
        <f t="array" aca="1" ref="BN71" ca="1">_FV(EC71,"Média de volume",TRUE)</f>
        <v>236810</v>
      </c>
      <c r="BO71" s="36">
        <v>263500</v>
      </c>
      <c r="BP71" s="36" cm="1">
        <f t="array" aca="1" ref="BP71" ca="1">_FV(EC71,"Volume")</f>
        <v>263500</v>
      </c>
      <c r="BQ71" s="24" cm="1">
        <f t="array" aca="1" ref="BQ71" ca="1">_FV(EC71,"Beta")</f>
        <v>1.1592</v>
      </c>
      <c r="BR71" s="71" cm="1">
        <f t="array" aca="1" ref="BR71" ca="1">_FV(EC71,"Variação (%)",TRUE)</f>
        <v>-1.6694000000000001E-2</v>
      </c>
      <c r="BT71" s="17" cm="1">
        <f t="array" aca="1" ref="BT71" ca="1">_FV(EC71,"Baixo")</f>
        <v>35.24</v>
      </c>
      <c r="BU71" s="17" cm="1">
        <f t="array" aca="1" ref="BU71" ca="1">_FV(EC71,"Alto")</f>
        <v>35.950000000000003</v>
      </c>
      <c r="BV71" s="24"/>
      <c r="BW71" s="63">
        <f ca="1">SQRT(22.5*(BL71/VLOOKUP(BM71,Fundamentus!A:U,3,FALSE))*(BL71/VLOOKUP(BM71,Fundamentus!A:U,4,FALSE)))</f>
        <v>36.016251005879113</v>
      </c>
      <c r="BY71" s="62">
        <f t="shared" ref="BY71:BY134" ca="1" si="112">(BL71 - BK71) / BK71</f>
        <v>0</v>
      </c>
      <c r="BZ71" s="8"/>
      <c r="CA71" s="61">
        <f t="shared" ref="CA71:CA134" si="113">MIN(A71:BK71)</f>
        <v>23.29</v>
      </c>
      <c r="CB71" s="61">
        <f t="shared" ref="CB71:CB134" si="114">MAX(A71:BK71)</f>
        <v>36.729999999999997</v>
      </c>
      <c r="CC71" s="61">
        <f t="shared" ref="CC71:CC134" si="115">AVERAGE(A71:BK71)</f>
        <v>29.828730158730174</v>
      </c>
      <c r="CD71" s="14"/>
      <c r="CE71" s="35">
        <f t="shared" si="98"/>
        <v>33.92727759512379</v>
      </c>
      <c r="CF71" s="15">
        <f t="shared" ref="CF71:CF134" si="116">FORECAST("04/07/2025", BH71:BK71, $BH$5:$BK$5)</f>
        <v>35.541000000000167</v>
      </c>
      <c r="CG71" s="35">
        <f t="shared" si="99"/>
        <v>37.154722404876544</v>
      </c>
      <c r="CI71" s="14"/>
      <c r="CJ71" s="17">
        <f t="shared" si="100"/>
        <v>14.323333333333331</v>
      </c>
      <c r="CK71" s="17">
        <f t="shared" si="101"/>
        <v>18.806666666666665</v>
      </c>
      <c r="CL71" s="17">
        <f t="shared" si="102"/>
        <v>27.763333333333328</v>
      </c>
      <c r="CM71" s="38">
        <f t="shared" ref="CM71:CM134" si="117">(CB71+CA71+BJ71)/3</f>
        <v>32.246666666666663</v>
      </c>
      <c r="CN71" s="17">
        <f t="shared" si="103"/>
        <v>41.203333333333326</v>
      </c>
      <c r="CO71" s="17">
        <f t="shared" si="104"/>
        <v>45.68666666666666</v>
      </c>
      <c r="CP71" s="17">
        <f t="shared" si="105"/>
        <v>54.643333333333324</v>
      </c>
      <c r="CQ71" s="2" cm="1">
        <f t="array" aca="1" ref="CQ71" ca="1">MAX(_xlfn._xlws.FILTER(CJ71:CP71,CJ71:CP71&lt;BL71))</f>
        <v>32.246666666666663</v>
      </c>
      <c r="CR71" s="2" cm="1">
        <f t="array" aca="1" ref="CR71" ca="1">MIN(_xlfn._xlws.FILTER($CJ71:$CP71,$CJ71:$CP71&gt;BL71))</f>
        <v>41.203333333333326</v>
      </c>
      <c r="CS71" s="16">
        <f t="shared" ca="1" si="80"/>
        <v>0.27775480669836661</v>
      </c>
      <c r="CT71" s="20">
        <f t="shared" ca="1" si="81"/>
        <v>-0.1388774033491833</v>
      </c>
      <c r="CU71" s="20">
        <f t="shared" ca="1" si="82"/>
        <v>-9.2584935566122198E-2</v>
      </c>
      <c r="CV71" s="20">
        <f t="shared" ca="1" si="83"/>
        <v>-5.555096133967332E-2</v>
      </c>
      <c r="CW71" s="20">
        <f t="shared" ca="1" si="84"/>
        <v>-3.08616451887074E-2</v>
      </c>
      <c r="CX71" s="20">
        <f t="shared" ca="1" si="85"/>
        <v>-1.6338518041080389E-2</v>
      </c>
      <c r="CY71" s="20">
        <f t="shared" ca="1" si="86"/>
        <v>-8.4168123241929269E-3</v>
      </c>
      <c r="CZ71" s="20">
        <f t="shared" ca="1" si="87"/>
        <v>-4.2731508722825629E-3</v>
      </c>
      <c r="DA71" s="21">
        <f t="shared" ca="1" si="88"/>
        <v>4.2731508722825629E-3</v>
      </c>
      <c r="DB71" s="21">
        <f t="shared" ca="1" si="89"/>
        <v>8.4168123241929269E-3</v>
      </c>
      <c r="DC71" s="21">
        <f t="shared" ca="1" si="90"/>
        <v>1.6338518041080389E-2</v>
      </c>
      <c r="DD71" s="21">
        <f t="shared" ca="1" si="91"/>
        <v>3.08616451887074E-2</v>
      </c>
      <c r="DE71" s="21">
        <f t="shared" ca="1" si="92"/>
        <v>5.555096133967332E-2</v>
      </c>
      <c r="DF71" s="21">
        <f t="shared" ca="1" si="93"/>
        <v>9.2584935566122198E-2</v>
      </c>
      <c r="DG71" s="21">
        <f t="shared" ca="1" si="94"/>
        <v>0.1388774033491833</v>
      </c>
      <c r="DI71" s="16" cm="1">
        <f t="array" aca="1" ref="DI71" ca="1">MAX(_xlfn._xlws.FILTER(CT71:DG71,CT71:DG71&lt;BR71))</f>
        <v>-3.08616451887074E-2</v>
      </c>
      <c r="DJ71" s="16" cm="1">
        <f t="array" aca="1" ref="DJ71" ca="1">MIN(_xlfn._xlws.FILTER(CT71:DG71,CT71:DG71&gt;BR71))</f>
        <v>-1.6338518041080389E-2</v>
      </c>
      <c r="DK71" s="2" cm="1">
        <f t="array" aca="1" ref="DK71" ca="1">_FV(EC71,"Fechamento anterior",TRUE)</f>
        <v>35.94</v>
      </c>
      <c r="DL71" s="28">
        <f t="shared" ca="1" si="106"/>
        <v>0.97548924736862108</v>
      </c>
      <c r="DM71" s="15">
        <f t="shared" ca="1" si="95"/>
        <v>34.830832471917851</v>
      </c>
      <c r="DN71" s="15">
        <f t="shared" ca="1" si="96"/>
        <v>35.35279366160357</v>
      </c>
      <c r="DO71" s="9"/>
      <c r="DP71" s="9"/>
      <c r="DQ71" s="9"/>
      <c r="DR71" s="89">
        <v>1.2279233862604049E-2</v>
      </c>
      <c r="DS71" s="89">
        <v>7.8533421627971205E-3</v>
      </c>
      <c r="DT71" s="89">
        <v>1.4523127147627012E-2</v>
      </c>
      <c r="DU71" s="89">
        <v>1.4523127147627012E-2</v>
      </c>
      <c r="DV71" s="89">
        <f t="shared" ca="1" si="107"/>
        <v>1.4523127147627012E-2</v>
      </c>
      <c r="DW71" s="72">
        <f t="shared" ca="1" si="108"/>
        <v>-0.12455673875059201</v>
      </c>
      <c r="DX71" s="37"/>
      <c r="DY71" s="35">
        <f t="shared" ref="DY71:DY134" si="118">_xlfn.STDEV.P(BF71:BK71)</f>
        <v>0.80686120243818726</v>
      </c>
      <c r="DZ71" s="56"/>
      <c r="EA71" s="56"/>
      <c r="EC71" s="2" t="e" vm="71">
        <v>#VALUE!</v>
      </c>
      <c r="EE71" s="10" cm="1">
        <f t="array" aca="1" ref="EE71" ca="1">_FV(EC71,"Ações em circulação",TRUE)</f>
        <v>66002920</v>
      </c>
      <c r="EF71" s="18">
        <f>VLOOKUP(BM71,Fundamentus!A:U,5,FALSE)</f>
        <v>1.1220000000000001</v>
      </c>
      <c r="EG71" s="2">
        <f t="shared" ca="1" si="109"/>
        <v>2078915501.6042781</v>
      </c>
      <c r="EH71" s="17">
        <v>268803774.35743314</v>
      </c>
      <c r="EI71" s="17">
        <f t="shared" ca="1" si="110"/>
        <v>268803774.35743314</v>
      </c>
      <c r="EK71" s="16">
        <f t="shared" ca="1" si="97"/>
        <v>0</v>
      </c>
      <c r="EL71" s="45" t="str">
        <f>IF(VLOOKUP(BM71,Fundamentus!A:U,3,FALSE)&lt;15,"Bom",IF(VLOOKUP(BM71,Fundamentus!A:U,3,FALSE)&gt;15,"Ruim","n/a"))</f>
        <v>Bom</v>
      </c>
      <c r="EM71" s="46" t="str">
        <f>IF(VLOOKUP(BM71,Fundamentus!A:U,4,FALSE)&lt;1,"Baixo",IF(VLOOKUP(BM71,Fundamentus!A:U,4,FALSE)&lt;1.5,"Moderado",IF(VLOOKUP(BM71,Fundamentus!A:U,4,FALSE)&gt;1.5,"Alto","n/a")))</f>
        <v>Alto</v>
      </c>
      <c r="EN71" s="30" t="str">
        <f>IF(VLOOKUP(BM71,Fundamentus!A:U,8,FALSE)&lt;0,"Risco elevado",IF(VLOOKUP(BM71,Fundamentus!A:U,8,FALSE)&lt;1,"Saudável",IF(VLOOKUP(BM71,Fundamentus!A:U,8,FALSE)&lt;3,"Estável",IF(VLOOKUP(BM71,Fundamentus!A:U,8,FALSE)&gt;3,"Alerta","n/a"))))</f>
        <v>Alerta</v>
      </c>
      <c r="EO71" s="46" t="str">
        <f t="shared" si="111"/>
        <v>Bom</v>
      </c>
      <c r="EP71" s="30" t="str">
        <f>IF(VLOOKUP(BM71,Fundamentus!A:U,12,FALSE)&lt;2,"Subvalorizada",IF(VLOOKUP(BM71,Fundamentus!A:U,12,FALSE)&lt;6,"Muita barata",IF(VLOOKUP(BM71,Fundamentus!A:U,12,FALSE)&lt;6,"Barata",IF(VLOOKUP(BM71,Fundamentus!A:U,12,FALSE)&lt;8,"Atrativa",IF(VLOOKUP(BM71,Fundamentus!A:U,12,FALSE)&gt;8,"Supervalorizada","n/a")))))</f>
        <v>Muita barata</v>
      </c>
      <c r="ER71" s="30" t="str">
        <f>IF(VLOOKUP(BM71,Fundamentus!A:U,17,FALSE)&lt;0.1,"Fraco retorno",IF(VLOOKUP(BM71,Fundamentus!A:U,17,FALSE)&gt;0.1,"Bom retorno","n/a"))</f>
        <v>Bom retorno</v>
      </c>
      <c r="ES71" s="30" t="str">
        <f>IF(VLOOKUP(BM71,Fundamentus!A:U,16,FALSE)&lt;0.1,"Ineficiente",IF(VLOOKUP(BM71,Fundamentus!A:U,16,FALSE)&gt;0.1,"Eficiente","n/a"))</f>
        <v>Eficiente</v>
      </c>
      <c r="ET71" s="49" t="str">
        <f>IF(VLOOKUP(BM71,Fundamentus!A:U,16,FALSE)&lt;0.1,"Oper. Ineficiente",IF(VLOOKUP(BM71,Fundamentus!A:U,16,FALSE)&gt;0.1,"Oper.Eficiente","n/a"))</f>
        <v>Oper.Eficiente</v>
      </c>
      <c r="EU71" s="48">
        <f>VLOOKUP(BM71,Fundamentus!A:U,14,FALSE)</f>
        <v>0.1293</v>
      </c>
      <c r="EV71" s="30" t="str">
        <f>IF(VLOOKUP(BM71,Fundamentus!A:U,21,FALSE)&lt;0,"Negativo",IF(VLOOKUP(BM71,Fundamentus!A:U,21,FALSE)&lt;0.05,"Fraco",IF(VLOOKUP(BM71,Fundamentus!A:U,21,FALSE)&lt;0.1,"Bom",IF(VLOOKUP(BM71,Fundamentus!A:U,21,FALSE)&gt;0.1,"Muito bom","n/a"))))</f>
        <v>Muito bom</v>
      </c>
      <c r="EX71" s="31" t="str">
        <f>IF(VLOOKUP(BM71,Fundamentus!A:U,15,FALSE)&gt;1,"Bom",IF(VLOOKUP(BM71,Fundamentus!A:U,15,FALSE)&lt;1,"Ruim","n/a"))</f>
        <v>Bom</v>
      </c>
      <c r="EY71" s="30" t="str">
        <f>IF(VLOOKUP(BM71,Fundamentus!A:U,20,FALSE)&lt;0.5,"Baixa",IF(VLOOKUP(BM71,Fundamentus!A:U,20,FALSE)&lt;1,"Moderada",IF(VLOOKUP(BM71,Fundamentus!A:U,20,FALSE)&lt;2,"Alerta",IF(VLOOKUP(BM71,Fundamentus!A:U,20,FALSE)&gt;2,"Alta","n/a"))))</f>
        <v>Baixa</v>
      </c>
      <c r="EZ71" s="10"/>
    </row>
    <row r="72" spans="1:156" s="2" customFormat="1" ht="11.25" x14ac:dyDescent="0.2">
      <c r="A72" s="4">
        <v>6.85</v>
      </c>
      <c r="B72" s="4">
        <v>6.92</v>
      </c>
      <c r="C72" s="4">
        <v>6.85</v>
      </c>
      <c r="D72" s="4">
        <v>6.86</v>
      </c>
      <c r="E72" s="4">
        <v>6.82</v>
      </c>
      <c r="F72" s="4">
        <v>6.7</v>
      </c>
      <c r="G72" s="4">
        <v>6.71</v>
      </c>
      <c r="H72" s="4">
        <v>6.67</v>
      </c>
      <c r="I72" s="4">
        <v>6.64</v>
      </c>
      <c r="J72" s="4">
        <v>6.98</v>
      </c>
      <c r="K72" s="4">
        <v>6.99</v>
      </c>
      <c r="L72" s="4">
        <v>6.91</v>
      </c>
      <c r="M72" s="4">
        <v>6.95</v>
      </c>
      <c r="N72" s="4">
        <v>6.97</v>
      </c>
      <c r="O72" s="4">
        <v>6.85</v>
      </c>
      <c r="P72" s="4">
        <v>6.82</v>
      </c>
      <c r="Q72" s="4">
        <v>6.95</v>
      </c>
      <c r="R72" s="4">
        <v>7</v>
      </c>
      <c r="S72" s="4">
        <v>6.97</v>
      </c>
      <c r="T72" s="4">
        <v>6.92</v>
      </c>
      <c r="U72" s="4">
        <v>6.97</v>
      </c>
      <c r="V72" s="4">
        <v>6.87</v>
      </c>
      <c r="W72" s="4">
        <v>6.93</v>
      </c>
      <c r="X72" s="4">
        <v>6.87</v>
      </c>
      <c r="Y72" s="4">
        <v>6.91</v>
      </c>
      <c r="Z72" s="4">
        <v>6.74</v>
      </c>
      <c r="AA72" s="4">
        <v>6.83</v>
      </c>
      <c r="AB72" s="4">
        <v>6.79</v>
      </c>
      <c r="AC72" s="4">
        <v>6.71</v>
      </c>
      <c r="AD72" s="4">
        <v>6.56</v>
      </c>
      <c r="AE72" s="4">
        <v>6.57</v>
      </c>
      <c r="AF72" s="4">
        <v>6.46</v>
      </c>
      <c r="AG72" s="4">
        <v>6.39</v>
      </c>
      <c r="AH72" s="4">
        <v>6.24</v>
      </c>
      <c r="AI72" s="4">
        <v>6.27</v>
      </c>
      <c r="AJ72" s="4">
        <v>6.28</v>
      </c>
      <c r="AK72" s="4">
        <v>6.27</v>
      </c>
      <c r="AL72" s="4">
        <v>6.33</v>
      </c>
      <c r="AM72" s="4">
        <v>6.32</v>
      </c>
      <c r="AN72" s="4">
        <v>6.57</v>
      </c>
      <c r="AO72" s="4">
        <v>6.38</v>
      </c>
      <c r="AP72" s="4">
        <v>6.4</v>
      </c>
      <c r="AQ72" s="4">
        <v>6.65</v>
      </c>
      <c r="AR72" s="4">
        <v>6.51</v>
      </c>
      <c r="AS72" s="4">
        <v>6.53</v>
      </c>
      <c r="AT72" s="4">
        <v>6.59</v>
      </c>
      <c r="AU72" s="4">
        <v>6.67</v>
      </c>
      <c r="AV72" s="4">
        <v>6.7</v>
      </c>
      <c r="AW72" s="4">
        <v>6.66</v>
      </c>
      <c r="AX72" s="4">
        <v>6.46</v>
      </c>
      <c r="AY72" s="12">
        <v>6.5</v>
      </c>
      <c r="AZ72" s="12">
        <v>6.5</v>
      </c>
      <c r="BA72" s="12">
        <v>6.52</v>
      </c>
      <c r="BB72" s="15">
        <v>6.51</v>
      </c>
      <c r="BC72" s="52">
        <v>6.66</v>
      </c>
      <c r="BD72" s="52">
        <v>6.65</v>
      </c>
      <c r="BE72" s="52">
        <v>6.8</v>
      </c>
      <c r="BF72" s="52">
        <v>6.79</v>
      </c>
      <c r="BG72" s="67">
        <v>6.82</v>
      </c>
      <c r="BH72" s="52">
        <v>6.77</v>
      </c>
      <c r="BI72" s="52">
        <v>6.63</v>
      </c>
      <c r="BJ72" s="52">
        <v>6.7</v>
      </c>
      <c r="BK72" s="52">
        <v>6.61</v>
      </c>
      <c r="BL72" s="52" cm="1">
        <f t="array" aca="1" ref="BL72" ca="1">_FV(EC72,"Preço")</f>
        <v>6.61</v>
      </c>
      <c r="BM72" s="69" t="s">
        <v>69</v>
      </c>
      <c r="BN72" s="36" cm="1">
        <f t="array" aca="1" ref="BN72" ca="1">_FV(EC72,"Média de volume",TRUE)</f>
        <v>1390</v>
      </c>
      <c r="BO72" s="36">
        <v>1100</v>
      </c>
      <c r="BP72" s="36" cm="1">
        <f t="array" aca="1" ref="BP72" ca="1">_FV(EC72,"Volume")</f>
        <v>1100</v>
      </c>
      <c r="BQ72" s="24" cm="1">
        <f t="array" aca="1" ref="BQ72" ca="1">_FV(EC72,"Beta")</f>
        <v>0.21479999999999999</v>
      </c>
      <c r="BR72" s="71" cm="1">
        <f t="array" aca="1" ref="BR72" ca="1">_FV(EC72,"Variação (%)",TRUE)</f>
        <v>-4.5179999999999994E-3</v>
      </c>
      <c r="BT72" s="17" cm="1">
        <f t="array" aca="1" ref="BT72" ca="1">_FV(EC72,"Baixo")</f>
        <v>6.6</v>
      </c>
      <c r="BU72" s="17" cm="1">
        <f t="array" aca="1" ref="BU72" ca="1">_FV(EC72,"Alto")</f>
        <v>6.69</v>
      </c>
      <c r="BV72" s="24"/>
      <c r="BW72" s="63">
        <f ca="1">SQRT(22.5*(BL72/VLOOKUP(BM72,Fundamentus!A:U,3,FALSE))*(BL72/VLOOKUP(BM72,Fundamentus!A:U,4,FALSE)))</f>
        <v>5.1196471257699487</v>
      </c>
      <c r="BY72" s="62">
        <f t="shared" ca="1" si="112"/>
        <v>0</v>
      </c>
      <c r="BZ72" s="8"/>
      <c r="CA72" s="61">
        <f t="shared" si="113"/>
        <v>6.24</v>
      </c>
      <c r="CB72" s="61">
        <f t="shared" si="114"/>
        <v>7</v>
      </c>
      <c r="CC72" s="61">
        <f t="shared" si="115"/>
        <v>6.6860317460317447</v>
      </c>
      <c r="CD72" s="14"/>
      <c r="CE72" s="35">
        <f t="shared" si="98"/>
        <v>6.4978355148491946</v>
      </c>
      <c r="CF72" s="15">
        <f t="shared" si="116"/>
        <v>6.6570000000000391</v>
      </c>
      <c r="CG72" s="35">
        <f t="shared" si="99"/>
        <v>6.8161644851508836</v>
      </c>
      <c r="CI72" s="14"/>
      <c r="CJ72" s="17">
        <f t="shared" si="100"/>
        <v>5.533333333333335</v>
      </c>
      <c r="CK72" s="17">
        <f t="shared" si="101"/>
        <v>5.8866666666666676</v>
      </c>
      <c r="CL72" s="17">
        <f t="shared" si="102"/>
        <v>6.2933333333333348</v>
      </c>
      <c r="CM72" s="38">
        <f t="shared" si="117"/>
        <v>6.6466666666666674</v>
      </c>
      <c r="CN72" s="17">
        <f t="shared" si="103"/>
        <v>7.0533333333333346</v>
      </c>
      <c r="CO72" s="17">
        <f t="shared" si="104"/>
        <v>7.4066666666666672</v>
      </c>
      <c r="CP72" s="17">
        <f t="shared" si="105"/>
        <v>7.8133333333333344</v>
      </c>
      <c r="CQ72" s="2" cm="1">
        <f t="array" aca="1" ref="CQ72" ca="1">MAX(_xlfn._xlws.FILTER(CJ72:CP72,CJ72:CP72&lt;BL72))</f>
        <v>6.2933333333333348</v>
      </c>
      <c r="CR72" s="2" cm="1">
        <f t="array" aca="1" ref="CR72" ca="1">MIN(_xlfn._xlws.FILTER($CJ72:$CP72,$CJ72:$CP72&gt;BL72))</f>
        <v>6.6466666666666674</v>
      </c>
      <c r="CS72" s="16">
        <f t="shared" ca="1" si="80"/>
        <v>5.6144067796610075E-2</v>
      </c>
      <c r="CT72" s="20">
        <f t="shared" ca="1" si="81"/>
        <v>-2.8072033898305038E-2</v>
      </c>
      <c r="CU72" s="20">
        <f t="shared" ca="1" si="82"/>
        <v>-1.8714689265536693E-2</v>
      </c>
      <c r="CV72" s="20">
        <f t="shared" ca="1" si="83"/>
        <v>-1.1228813559322015E-2</v>
      </c>
      <c r="CW72" s="20">
        <f t="shared" ca="1" si="84"/>
        <v>-6.2382297551788974E-3</v>
      </c>
      <c r="CX72" s="20">
        <f t="shared" ca="1" si="85"/>
        <v>-3.3025922233300043E-3</v>
      </c>
      <c r="CY72" s="20">
        <f t="shared" ca="1" si="86"/>
        <v>-1.701335387776063E-3</v>
      </c>
      <c r="CZ72" s="20">
        <f t="shared" ca="1" si="87"/>
        <v>-8.6375488917861658E-4</v>
      </c>
      <c r="DA72" s="21">
        <f t="shared" ca="1" si="88"/>
        <v>8.6375488917861658E-4</v>
      </c>
      <c r="DB72" s="21">
        <f t="shared" ca="1" si="89"/>
        <v>1.701335387776063E-3</v>
      </c>
      <c r="DC72" s="21">
        <f t="shared" ca="1" si="90"/>
        <v>3.3025922233300043E-3</v>
      </c>
      <c r="DD72" s="21">
        <f t="shared" ca="1" si="91"/>
        <v>6.2382297551788974E-3</v>
      </c>
      <c r="DE72" s="21">
        <f t="shared" ca="1" si="92"/>
        <v>1.1228813559322015E-2</v>
      </c>
      <c r="DF72" s="21">
        <f t="shared" ca="1" si="93"/>
        <v>1.8714689265536693E-2</v>
      </c>
      <c r="DG72" s="21">
        <f t="shared" ca="1" si="94"/>
        <v>2.8072033898305038E-2</v>
      </c>
      <c r="DI72" s="16" cm="1">
        <f t="array" aca="1" ref="DI72" ca="1">MAX(_xlfn._xlws.FILTER(CT72:DG72,CT72:DG72&lt;BR72))</f>
        <v>-6.2382297551788974E-3</v>
      </c>
      <c r="DJ72" s="16" cm="1">
        <f t="array" aca="1" ref="DJ72" ca="1">MIN(_xlfn._xlws.FILTER(CT72:DG72,CT72:DG72&gt;BR72))</f>
        <v>-3.3025922233300043E-3</v>
      </c>
      <c r="DK72" s="2" cm="1">
        <f t="array" aca="1" ref="DK72" ca="1">_FV(EC72,"Fechamento anterior",TRUE)</f>
        <v>6.64</v>
      </c>
      <c r="DL72" s="28">
        <f t="shared" ca="1" si="106"/>
        <v>0.5859570356899656</v>
      </c>
      <c r="DM72" s="15">
        <f t="shared" ca="1" si="95"/>
        <v>6.5985781544256117</v>
      </c>
      <c r="DN72" s="15">
        <f t="shared" ca="1" si="96"/>
        <v>6.6180707876370883</v>
      </c>
      <c r="DO72" s="9"/>
      <c r="DP72" s="9"/>
      <c r="DQ72" s="9"/>
      <c r="DR72" s="89">
        <v>1.0173334215146062E-3</v>
      </c>
      <c r="DS72" s="89">
        <v>9.9654416703270367E-4</v>
      </c>
      <c r="DT72" s="89">
        <v>3.1991399033702494E-3</v>
      </c>
      <c r="DU72" s="89">
        <v>2.9356375318488931E-3</v>
      </c>
      <c r="DV72" s="89">
        <f t="shared" ca="1" si="107"/>
        <v>2.9356375318488931E-3</v>
      </c>
      <c r="DW72" s="72">
        <f t="shared" ca="1" si="108"/>
        <v>-0.29529200534588873</v>
      </c>
      <c r="DX72" s="37"/>
      <c r="DY72" s="35">
        <f t="shared" si="118"/>
        <v>7.958224257542211E-2</v>
      </c>
      <c r="DZ72" s="56"/>
      <c r="EA72" s="56"/>
      <c r="EC72" s="2" t="e" vm="72">
        <v>#VALUE!</v>
      </c>
      <c r="EE72" s="10" cm="1">
        <f t="array" aca="1" ref="EE72" ca="1">_FV(EC72,"Ações em circulação",TRUE)</f>
        <v>2110323000</v>
      </c>
      <c r="EF72" s="18">
        <f>VLOOKUP(BM72,Fundamentus!A:U,5,FALSE)</f>
        <v>0.79600000000000004</v>
      </c>
      <c r="EG72" s="2">
        <f t="shared" ca="1" si="109"/>
        <v>17524164610.552761</v>
      </c>
      <c r="EH72" s="17">
        <v>1762930959.8216076</v>
      </c>
      <c r="EI72" s="17">
        <f t="shared" ca="1" si="110"/>
        <v>1762930959.8216076</v>
      </c>
      <c r="EK72" s="16">
        <f t="shared" ca="1" si="97"/>
        <v>0</v>
      </c>
      <c r="EL72" s="32" t="str">
        <f>IF(VLOOKUP(BM72,Fundamentus!A:U,3,FALSE)&lt;15,"Bom",IF(VLOOKUP(BM72,Fundamentus!A:U,3,FALSE)&gt;15,"Ruim","n/a"))</f>
        <v>Bom</v>
      </c>
      <c r="EM72" s="28" t="str">
        <f>IF(VLOOKUP(BM72,Fundamentus!A:U,4,FALSE)&lt;1,"Baixo",IF(VLOOKUP(BM72,Fundamentus!A:U,4,FALSE)&lt;1.5,"Moderado",IF(VLOOKUP(BM72,Fundamentus!A:U,4,FALSE)&gt;1.5,"Alto","n/a")))</f>
        <v>Alto</v>
      </c>
      <c r="EN72" s="17" t="str">
        <f>IF(VLOOKUP(BM72,Fundamentus!A:U,8,FALSE)&lt;0,"Risco elevado",IF(VLOOKUP(BM72,Fundamentus!A:U,8,FALSE)&lt;1,"Saudável",IF(VLOOKUP(BM72,Fundamentus!A:U,8,FALSE)&lt;3,"Estável",IF(VLOOKUP(BM72,Fundamentus!A:U,8,FALSE)&gt;3,"Alerta","n/a"))))</f>
        <v>Alerta</v>
      </c>
      <c r="EO72" s="28" t="str">
        <f t="shared" si="111"/>
        <v>Ruim</v>
      </c>
      <c r="EP72" s="17" t="str">
        <f>IF(VLOOKUP(BM72,Fundamentus!A:U,12,FALSE)&lt;2,"Subvalorizada",IF(VLOOKUP(BM72,Fundamentus!A:U,12,FALSE)&lt;6,"Muita barata",IF(VLOOKUP(BM72,Fundamentus!A:U,12,FALSE)&lt;6,"Barata",IF(VLOOKUP(BM72,Fundamentus!A:U,12,FALSE)&lt;8,"Atrativa",IF(VLOOKUP(BM72,Fundamentus!A:U,12,FALSE)&gt;8,"Supervalorizada","n/a")))))</f>
        <v>Atrativa</v>
      </c>
      <c r="ER72" s="17" t="str">
        <f>IF(VLOOKUP(BM72,Fundamentus!A:U,17,FALSE)&lt;0.1,"Fraco retorno",IF(VLOOKUP(BM72,Fundamentus!A:U,17,FALSE)&gt;0.1,"Bom retorno","n/a"))</f>
        <v>Bom retorno</v>
      </c>
      <c r="ES72" s="17" t="str">
        <f>IF(VLOOKUP(BM72,Fundamentus!A:U,16,FALSE)&lt;0.1,"Ineficiente",IF(VLOOKUP(BM72,Fundamentus!A:U,16,FALSE)&gt;0.1,"Eficiente","n/a"))</f>
        <v>Eficiente</v>
      </c>
      <c r="ET72" s="33" t="str">
        <f>IF(VLOOKUP(BM72,Fundamentus!A:U,16,FALSE)&lt;0.1,"Oper. Ineficiente",IF(VLOOKUP(BM72,Fundamentus!A:U,16,FALSE)&gt;0.1,"Oper.Eficiente","n/a"))</f>
        <v>Oper.Eficiente</v>
      </c>
      <c r="EU72" s="34">
        <f>VLOOKUP(BM72,Fundamentus!A:U,14,FALSE)</f>
        <v>0.10059999999999999</v>
      </c>
      <c r="EV72" s="17" t="str">
        <f>IF(VLOOKUP(BM72,Fundamentus!A:U,21,FALSE)&lt;0,"Negativo",IF(VLOOKUP(BM72,Fundamentus!A:U,21,FALSE)&lt;0.05,"Fraco",IF(VLOOKUP(BM72,Fundamentus!A:U,21,FALSE)&lt;0.1,"Bom",IF(VLOOKUP(BM72,Fundamentus!A:U,21,FALSE)&gt;0.1,"Muito bom","n/a"))))</f>
        <v>Bom</v>
      </c>
      <c r="EX72" s="29" t="str">
        <f>IF(VLOOKUP(BM72,Fundamentus!A:U,15,FALSE)&gt;1,"Bom",IF(VLOOKUP(BM72,Fundamentus!A:U,15,FALSE)&lt;1,"Ruim","n/a"))</f>
        <v>Bom</v>
      </c>
      <c r="EY72" s="17" t="str">
        <f>IF(VLOOKUP(BM72,Fundamentus!A:U,20,FALSE)&lt;0.5,"Baixa",IF(VLOOKUP(BM72,Fundamentus!A:U,20,FALSE)&lt;1,"Moderada",IF(VLOOKUP(BM72,Fundamentus!A:U,20,FALSE)&lt;2,"Alerta",IF(VLOOKUP(BM72,Fundamentus!A:U,20,FALSE)&gt;2,"Alta","n/a"))))</f>
        <v>Alta</v>
      </c>
      <c r="EZ72" s="10"/>
    </row>
    <row r="73" spans="1:156" s="2" customFormat="1" ht="11.25" x14ac:dyDescent="0.2">
      <c r="A73" s="4">
        <v>1.1399999999999999</v>
      </c>
      <c r="B73" s="4">
        <v>1.08</v>
      </c>
      <c r="C73" s="4">
        <v>1.03</v>
      </c>
      <c r="D73" s="4">
        <v>0.98</v>
      </c>
      <c r="E73" s="4">
        <v>0.99</v>
      </c>
      <c r="F73" s="4">
        <v>0.98</v>
      </c>
      <c r="G73" s="4">
        <v>0.95</v>
      </c>
      <c r="H73" s="4">
        <v>0.95</v>
      </c>
      <c r="I73" s="4">
        <v>0.91</v>
      </c>
      <c r="J73" s="4">
        <v>0.92</v>
      </c>
      <c r="K73" s="4">
        <v>0.9</v>
      </c>
      <c r="L73" s="4">
        <v>0.91</v>
      </c>
      <c r="M73" s="4">
        <v>0.89</v>
      </c>
      <c r="N73" s="4">
        <v>0.89</v>
      </c>
      <c r="O73" s="4">
        <v>0.84</v>
      </c>
      <c r="P73" s="4">
        <v>0.97</v>
      </c>
      <c r="Q73" s="4">
        <v>1.02</v>
      </c>
      <c r="R73" s="4">
        <v>1.02</v>
      </c>
      <c r="S73" s="4">
        <v>1.07</v>
      </c>
      <c r="T73" s="4">
        <v>1</v>
      </c>
      <c r="U73" s="4">
        <v>0.98</v>
      </c>
      <c r="V73" s="4">
        <v>1.1200000000000001</v>
      </c>
      <c r="W73" s="4">
        <v>1.04</v>
      </c>
      <c r="X73" s="4">
        <v>1.1000000000000001</v>
      </c>
      <c r="Y73" s="4">
        <v>1.17</v>
      </c>
      <c r="Z73" s="4">
        <v>1.17</v>
      </c>
      <c r="AA73" s="4">
        <v>1.04</v>
      </c>
      <c r="AB73" s="4">
        <v>1.08</v>
      </c>
      <c r="AC73" s="4">
        <v>0.99</v>
      </c>
      <c r="AD73" s="4">
        <v>0.99</v>
      </c>
      <c r="AE73" s="4">
        <v>0.99</v>
      </c>
      <c r="AF73" s="4">
        <v>0.98</v>
      </c>
      <c r="AG73" s="4">
        <v>0.94</v>
      </c>
      <c r="AH73" s="4">
        <v>0.98</v>
      </c>
      <c r="AI73" s="4">
        <v>0.96</v>
      </c>
      <c r="AJ73" s="4">
        <v>0.96</v>
      </c>
      <c r="AK73" s="4">
        <v>0.97</v>
      </c>
      <c r="AL73" s="4">
        <v>0.91</v>
      </c>
      <c r="AM73" s="4">
        <v>0.91</v>
      </c>
      <c r="AN73" s="4">
        <v>0.96</v>
      </c>
      <c r="AO73" s="4">
        <v>1.05</v>
      </c>
      <c r="AP73" s="4">
        <v>0.97</v>
      </c>
      <c r="AQ73" s="4">
        <v>0.89</v>
      </c>
      <c r="AR73" s="4">
        <v>0.84</v>
      </c>
      <c r="AS73" s="4">
        <v>0.89</v>
      </c>
      <c r="AT73" s="4">
        <v>0.86</v>
      </c>
      <c r="AU73" s="4">
        <v>0.94500000000000006</v>
      </c>
      <c r="AV73" s="4">
        <v>1.01</v>
      </c>
      <c r="AW73" s="4">
        <v>0.93</v>
      </c>
      <c r="AX73" s="4">
        <v>0.86</v>
      </c>
      <c r="AY73" s="12">
        <v>0.86</v>
      </c>
      <c r="AZ73" s="12">
        <v>0.86</v>
      </c>
      <c r="BA73" s="12">
        <v>0.84</v>
      </c>
      <c r="BB73" s="15">
        <v>0.89</v>
      </c>
      <c r="BC73" s="52">
        <v>0.94</v>
      </c>
      <c r="BD73" s="52">
        <v>0.85</v>
      </c>
      <c r="BE73" s="52">
        <v>0.85</v>
      </c>
      <c r="BF73" s="52">
        <v>1.3</v>
      </c>
      <c r="BG73" s="67">
        <v>1.1599999999999999</v>
      </c>
      <c r="BH73" s="52">
        <v>1.1200000000000001</v>
      </c>
      <c r="BI73" s="52">
        <v>0.91</v>
      </c>
      <c r="BJ73" s="52">
        <v>0.97</v>
      </c>
      <c r="BK73" s="52">
        <v>0.98</v>
      </c>
      <c r="BL73" s="52" cm="1">
        <f t="array" aca="1" ref="BL73" ca="1">_FV(EC73,"Preço")</f>
        <v>0.98</v>
      </c>
      <c r="BM73" s="69" t="s">
        <v>70</v>
      </c>
      <c r="BN73" s="36" cm="1">
        <f t="array" aca="1" ref="BN73" ca="1">_FV(EC73,"Média de volume",TRUE)</f>
        <v>64180</v>
      </c>
      <c r="BO73" s="36">
        <v>147100</v>
      </c>
      <c r="BP73" s="36" cm="1">
        <f t="array" aca="1" ref="BP73" ca="1">_FV(EC73,"Volume")</f>
        <v>147100</v>
      </c>
      <c r="BQ73" s="24" cm="1">
        <f t="array" aca="1" ref="BQ73" ca="1">_FV(EC73,"Beta")</f>
        <v>1.3280000000000001</v>
      </c>
      <c r="BR73" s="71" cm="1">
        <f t="array" aca="1" ref="BR73" ca="1">_FV(EC73,"Variação (%)",TRUE)</f>
        <v>6.5216999999999997E-2</v>
      </c>
      <c r="BT73" s="17" cm="1">
        <f t="array" aca="1" ref="BT73" ca="1">_FV(EC73,"Baixo")</f>
        <v>0.94</v>
      </c>
      <c r="BU73" s="17" cm="1">
        <f t="array" aca="1" ref="BU73" ca="1">_FV(EC73,"Alto")</f>
        <v>0.99</v>
      </c>
      <c r="BV73" s="24"/>
      <c r="BW73" s="63" t="e">
        <f ca="1">SQRT(22.5*(BL73/VLOOKUP(BM73,Fundamentus!A:U,3,FALSE))*(BL73/VLOOKUP(BM73,Fundamentus!A:U,4,FALSE)))</f>
        <v>#NUM!</v>
      </c>
      <c r="BY73" s="62">
        <f t="shared" ca="1" si="112"/>
        <v>0</v>
      </c>
      <c r="BZ73" s="8"/>
      <c r="CA73" s="61">
        <f t="shared" si="113"/>
        <v>0.84</v>
      </c>
      <c r="CB73" s="61">
        <f t="shared" si="114"/>
        <v>1.3</v>
      </c>
      <c r="CC73" s="61">
        <f t="shared" si="115"/>
        <v>0.97547619047619016</v>
      </c>
      <c r="CD73" s="14"/>
      <c r="CE73" s="35">
        <f t="shared" si="98"/>
        <v>0.70975063662896953</v>
      </c>
      <c r="CF73" s="15">
        <f t="shared" si="116"/>
        <v>0.97700000000000387</v>
      </c>
      <c r="CG73" s="35">
        <f t="shared" si="99"/>
        <v>1.2442493633710381</v>
      </c>
      <c r="CI73" s="14"/>
      <c r="CJ73" s="17">
        <f t="shared" si="100"/>
        <v>0.31333333333333357</v>
      </c>
      <c r="CK73" s="17">
        <f t="shared" si="101"/>
        <v>0.57666666666666677</v>
      </c>
      <c r="CL73" s="17">
        <f t="shared" si="102"/>
        <v>0.77333333333333365</v>
      </c>
      <c r="CM73" s="38">
        <f t="shared" si="117"/>
        <v>1.0366666666666668</v>
      </c>
      <c r="CN73" s="17">
        <f t="shared" si="103"/>
        <v>1.2333333333333338</v>
      </c>
      <c r="CO73" s="17">
        <f t="shared" si="104"/>
        <v>1.496666666666667</v>
      </c>
      <c r="CP73" s="17">
        <f t="shared" si="105"/>
        <v>1.6933333333333338</v>
      </c>
      <c r="CQ73" s="2" cm="1">
        <f t="array" aca="1" ref="CQ73" ca="1">MAX(_xlfn._xlws.FILTER(CJ73:CP73,CJ73:CP73&lt;BL73))</f>
        <v>0.77333333333333365</v>
      </c>
      <c r="CR73" s="2" cm="1">
        <f t="array" aca="1" ref="CR73" ca="1">MIN(_xlfn._xlws.FILTER($CJ73:$CP73,$CJ73:$CP73&gt;BL73))</f>
        <v>1.0366666666666668</v>
      </c>
      <c r="CS73" s="16">
        <f t="shared" ca="1" si="80"/>
        <v>0.34051724137931005</v>
      </c>
      <c r="CT73" s="20">
        <f t="shared" ca="1" si="81"/>
        <v>-0.17025862068965503</v>
      </c>
      <c r="CU73" s="20">
        <f t="shared" ca="1" si="82"/>
        <v>-0.11350574712643668</v>
      </c>
      <c r="CV73" s="20">
        <f t="shared" ca="1" si="83"/>
        <v>-6.8103448275862011E-2</v>
      </c>
      <c r="CW73" s="20">
        <f t="shared" ca="1" si="84"/>
        <v>-3.7835249042145559E-2</v>
      </c>
      <c r="CX73" s="20">
        <f t="shared" ca="1" si="85"/>
        <v>-2.0030425963488828E-2</v>
      </c>
      <c r="CY73" s="20">
        <f t="shared" ca="1" si="86"/>
        <v>-1.0318704284221518E-2</v>
      </c>
      <c r="CZ73" s="20">
        <f t="shared" ca="1" si="87"/>
        <v>-5.2387267904509243E-3</v>
      </c>
      <c r="DA73" s="21">
        <f t="shared" ca="1" si="88"/>
        <v>5.2387267904509243E-3</v>
      </c>
      <c r="DB73" s="21">
        <f t="shared" ca="1" si="89"/>
        <v>1.0318704284221518E-2</v>
      </c>
      <c r="DC73" s="21">
        <f t="shared" ca="1" si="90"/>
        <v>2.0030425963488828E-2</v>
      </c>
      <c r="DD73" s="21">
        <f t="shared" ca="1" si="91"/>
        <v>3.7835249042145559E-2</v>
      </c>
      <c r="DE73" s="21">
        <f t="shared" ca="1" si="92"/>
        <v>6.8103448275862011E-2</v>
      </c>
      <c r="DF73" s="21">
        <f t="shared" ca="1" si="93"/>
        <v>0.11350574712643668</v>
      </c>
      <c r="DG73" s="21">
        <f t="shared" ca="1" si="94"/>
        <v>0.17025862068965503</v>
      </c>
      <c r="DI73" s="16" cm="1">
        <f t="array" aca="1" ref="DI73" ca="1">MAX(_xlfn._xlws.FILTER(CT73:DG73,CT73:DG73&lt;BR73))</f>
        <v>3.7835249042145559E-2</v>
      </c>
      <c r="DJ73" s="16" cm="1">
        <f t="array" aca="1" ref="DJ73" ca="1">MIN(_xlfn._xlws.FILTER(CT73:DG73,CT73:DG73&gt;BR73))</f>
        <v>6.8103448275862011E-2</v>
      </c>
      <c r="DK73" s="2" cm="1">
        <f t="array" aca="1" ref="DK73" ca="1">_FV(EC73,"Fechamento anterior",TRUE)</f>
        <v>0.92</v>
      </c>
      <c r="DL73" s="28">
        <f t="shared" ca="1" si="106"/>
        <v>0.90465052283984615</v>
      </c>
      <c r="DM73" s="15">
        <f t="shared" ca="1" si="95"/>
        <v>0.95480842911877395</v>
      </c>
      <c r="DN73" s="15">
        <f t="shared" ca="1" si="96"/>
        <v>0.98265517241379308</v>
      </c>
      <c r="DO73" s="9"/>
      <c r="DP73" s="9"/>
      <c r="DQ73" s="9"/>
      <c r="DR73" s="89">
        <v>2.059620596205964E-2</v>
      </c>
      <c r="DS73" s="89">
        <v>1.235888294711824E-2</v>
      </c>
      <c r="DT73" s="89">
        <v>1.0477453580901849E-2</v>
      </c>
      <c r="DU73" s="89">
        <v>3.0268199233716452E-2</v>
      </c>
      <c r="DV73" s="89">
        <f t="shared" ca="1" si="107"/>
        <v>3.0268199233716452E-2</v>
      </c>
      <c r="DW73" s="72">
        <f t="shared" ca="1" si="108"/>
        <v>1.1225471081220432E-2</v>
      </c>
      <c r="DX73" s="37"/>
      <c r="DY73" s="35">
        <f t="shared" si="118"/>
        <v>0.13362468168551717</v>
      </c>
      <c r="DZ73" s="56"/>
      <c r="EA73" s="56"/>
      <c r="EC73" s="2" t="e" vm="73">
        <v>#VALUE!</v>
      </c>
      <c r="EE73" s="10" cm="1">
        <f t="array" aca="1" ref="EE73" ca="1">_FV(EC73,"Ações em circulação",TRUE)</f>
        <v>124061300</v>
      </c>
      <c r="EF73" s="18">
        <f>VLOOKUP(BM73,Fundamentus!A:U,5,FALSE)</f>
        <v>1.4359999999999999</v>
      </c>
      <c r="EG73" s="2">
        <f t="shared" ca="1" si="109"/>
        <v>84665789.693593323</v>
      </c>
      <c r="EH73" s="17">
        <v>-31724271.398189418</v>
      </c>
      <c r="EI73" s="17">
        <f t="shared" ca="1" si="110"/>
        <v>-31724271.398189418</v>
      </c>
      <c r="EK73" s="16">
        <f t="shared" ca="1" si="97"/>
        <v>0</v>
      </c>
      <c r="EL73" s="32" t="str">
        <f>IF(VLOOKUP(BM73,Fundamentus!A:U,3,FALSE)&lt;15,"Bom",IF(VLOOKUP(BM73,Fundamentus!A:U,3,FALSE)&gt;15,"Ruim","n/a"))</f>
        <v>Bom</v>
      </c>
      <c r="EM73" s="28" t="str">
        <f>IF(VLOOKUP(BM73,Fundamentus!A:U,4,FALSE)&lt;1,"Baixo",IF(VLOOKUP(BM73,Fundamentus!A:U,4,FALSE)&lt;1.5,"Moderado",IF(VLOOKUP(BM73,Fundamentus!A:U,4,FALSE)&gt;1.5,"Alto","n/a")))</f>
        <v>Baixo</v>
      </c>
      <c r="EN73" s="17" t="str">
        <f>IF(VLOOKUP(BM73,Fundamentus!A:U,8,FALSE)&lt;0,"Risco elevado",IF(VLOOKUP(BM73,Fundamentus!A:U,8,FALSE)&lt;1,"Saudável",IF(VLOOKUP(BM73,Fundamentus!A:U,8,FALSE)&lt;3,"Estável",IF(VLOOKUP(BM73,Fundamentus!A:U,8,FALSE)&gt;3,"Alerta","n/a"))))</f>
        <v>Risco elevado</v>
      </c>
      <c r="EO73" s="28" t="str">
        <f t="shared" si="111"/>
        <v>Bom</v>
      </c>
      <c r="EP73" s="17" t="str">
        <f>IF(VLOOKUP(BM73,Fundamentus!A:U,12,FALSE)&lt;2,"Subvalorizada",IF(VLOOKUP(BM73,Fundamentus!A:U,12,FALSE)&lt;6,"Muita barata",IF(VLOOKUP(BM73,Fundamentus!A:U,12,FALSE)&lt;6,"Barata",IF(VLOOKUP(BM73,Fundamentus!A:U,12,FALSE)&lt;8,"Atrativa",IF(VLOOKUP(BM73,Fundamentus!A:U,12,FALSE)&gt;8,"Supervalorizada","n/a")))))</f>
        <v>Supervalorizada</v>
      </c>
      <c r="ER73" s="17" t="str">
        <f>IF(VLOOKUP(BM73,Fundamentus!A:U,17,FALSE)&lt;0.1,"Fraco retorno",IF(VLOOKUP(BM73,Fundamentus!A:U,17,FALSE)&gt;0.1,"Bom retorno","n/a"))</f>
        <v>Fraco retorno</v>
      </c>
      <c r="ES73" s="17" t="str">
        <f>IF(VLOOKUP(BM73,Fundamentus!A:U,16,FALSE)&lt;0.1,"Ineficiente",IF(VLOOKUP(BM73,Fundamentus!A:U,16,FALSE)&gt;0.1,"Eficiente","n/a"))</f>
        <v>Ineficiente</v>
      </c>
      <c r="ET73" s="33" t="str">
        <f>IF(VLOOKUP(BM73,Fundamentus!A:U,16,FALSE)&lt;0.1,"Oper. Ineficiente",IF(VLOOKUP(BM73,Fundamentus!A:U,16,FALSE)&gt;0.1,"Oper.Eficiente","n/a"))</f>
        <v>Oper. Ineficiente</v>
      </c>
      <c r="EU73" s="34">
        <f>VLOOKUP(BM73,Fundamentus!A:U,14,FALSE)</f>
        <v>-0.37469999999999998</v>
      </c>
      <c r="EV73" s="17" t="str">
        <f>IF(VLOOKUP(BM73,Fundamentus!A:U,21,FALSE)&lt;0,"Negativo",IF(VLOOKUP(BM73,Fundamentus!A:U,21,FALSE)&lt;0.05,"Fraco",IF(VLOOKUP(BM73,Fundamentus!A:U,21,FALSE)&lt;0.1,"Bom",IF(VLOOKUP(BM73,Fundamentus!A:U,21,FALSE)&gt;0.1,"Muito bom","n/a"))))</f>
        <v>Muito bom</v>
      </c>
      <c r="EX73" s="29" t="str">
        <f>IF(VLOOKUP(BM73,Fundamentus!A:U,15,FALSE)&gt;1,"Bom",IF(VLOOKUP(BM73,Fundamentus!A:U,15,FALSE)&lt;1,"Ruim","n/a"))</f>
        <v>Ruim</v>
      </c>
      <c r="EY73" s="17" t="str">
        <f>IF(VLOOKUP(BM73,Fundamentus!A:U,20,FALSE)&lt;0.5,"Baixa",IF(VLOOKUP(BM73,Fundamentus!A:U,20,FALSE)&lt;1,"Moderada",IF(VLOOKUP(BM73,Fundamentus!A:U,20,FALSE)&lt;2,"Alerta",IF(VLOOKUP(BM73,Fundamentus!A:U,20,FALSE)&gt;2,"Alta","n/a"))))</f>
        <v>Alerta</v>
      </c>
      <c r="EZ73" s="10"/>
    </row>
    <row r="74" spans="1:156" s="2" customFormat="1" ht="11.25" x14ac:dyDescent="0.2">
      <c r="A74" s="4">
        <v>2.39</v>
      </c>
      <c r="B74" s="4">
        <v>2.27</v>
      </c>
      <c r="C74" s="4">
        <v>2.0099999999999998</v>
      </c>
      <c r="D74" s="4">
        <v>2.06</v>
      </c>
      <c r="E74" s="4">
        <v>1.93</v>
      </c>
      <c r="F74" s="4">
        <v>1.9</v>
      </c>
      <c r="G74" s="4">
        <v>2.0099999999999998</v>
      </c>
      <c r="H74" s="4">
        <v>1.9</v>
      </c>
      <c r="I74" s="4">
        <v>1.96</v>
      </c>
      <c r="J74" s="4">
        <v>2.06</v>
      </c>
      <c r="K74" s="4">
        <v>2.09</v>
      </c>
      <c r="L74" s="4">
        <v>1.87</v>
      </c>
      <c r="M74" s="4">
        <v>1.86</v>
      </c>
      <c r="N74" s="4">
        <v>1.85</v>
      </c>
      <c r="O74" s="4">
        <v>1.91</v>
      </c>
      <c r="P74" s="4">
        <v>1.92</v>
      </c>
      <c r="Q74" s="4">
        <v>2.25</v>
      </c>
      <c r="R74" s="4">
        <v>1.97</v>
      </c>
      <c r="S74" s="4">
        <v>1.9</v>
      </c>
      <c r="T74" s="4">
        <v>2.08</v>
      </c>
      <c r="U74" s="4">
        <v>1.87</v>
      </c>
      <c r="V74" s="4">
        <v>1.9</v>
      </c>
      <c r="W74" s="4">
        <v>1.84</v>
      </c>
      <c r="X74" s="4">
        <v>1.82</v>
      </c>
      <c r="Y74" s="4">
        <v>1.84</v>
      </c>
      <c r="Z74" s="4">
        <v>2.08</v>
      </c>
      <c r="AA74" s="4">
        <v>1.94</v>
      </c>
      <c r="AB74" s="4">
        <v>2.0499999999999998</v>
      </c>
      <c r="AC74" s="4">
        <v>2.2999999999999998</v>
      </c>
      <c r="AD74" s="4">
        <v>2.5299999999999998</v>
      </c>
      <c r="AE74" s="4">
        <v>2.39</v>
      </c>
      <c r="AF74" s="4">
        <v>2.06</v>
      </c>
      <c r="AG74" s="4">
        <v>1.96</v>
      </c>
      <c r="AH74" s="4">
        <v>1.55</v>
      </c>
      <c r="AI74" s="4">
        <v>1.4</v>
      </c>
      <c r="AJ74" s="4">
        <v>1.5</v>
      </c>
      <c r="AK74" s="4">
        <v>1.66</v>
      </c>
      <c r="AL74" s="4">
        <v>1.71</v>
      </c>
      <c r="AM74" s="4">
        <v>1.78</v>
      </c>
      <c r="AN74" s="4">
        <v>1.97</v>
      </c>
      <c r="AO74" s="4">
        <v>1.83</v>
      </c>
      <c r="AP74" s="4">
        <v>1.98</v>
      </c>
      <c r="AQ74" s="4">
        <v>1.84</v>
      </c>
      <c r="AR74" s="4">
        <v>1.73</v>
      </c>
      <c r="AS74" s="4">
        <v>1.87</v>
      </c>
      <c r="AT74" s="4">
        <v>2.02</v>
      </c>
      <c r="AU74" s="4">
        <v>2</v>
      </c>
      <c r="AV74" s="4">
        <v>2.2599999999999998</v>
      </c>
      <c r="AW74" s="4">
        <v>2.02</v>
      </c>
      <c r="AX74" s="4">
        <v>2.1800000000000002</v>
      </c>
      <c r="AY74" s="12">
        <v>2.23</v>
      </c>
      <c r="AZ74" s="12">
        <v>2.2999999999999998</v>
      </c>
      <c r="BA74" s="12">
        <v>2.17</v>
      </c>
      <c r="BB74" s="15">
        <v>2.21</v>
      </c>
      <c r="BC74" s="52">
        <v>2.2200000000000002</v>
      </c>
      <c r="BD74" s="52">
        <v>2.2400000000000002</v>
      </c>
      <c r="BE74" s="52">
        <v>2.37</v>
      </c>
      <c r="BF74" s="52">
        <v>2.54</v>
      </c>
      <c r="BG74" s="67">
        <v>2.31</v>
      </c>
      <c r="BH74" s="52">
        <v>2.29</v>
      </c>
      <c r="BI74" s="52">
        <v>2.35</v>
      </c>
      <c r="BJ74" s="52">
        <v>2.4900000000000002</v>
      </c>
      <c r="BK74" s="52">
        <v>2.37</v>
      </c>
      <c r="BL74" s="52" cm="1">
        <f t="array" aca="1" ref="BL74" ca="1">_FV(EC74,"Preço")</f>
        <v>2.37</v>
      </c>
      <c r="BM74" s="69" t="s">
        <v>71</v>
      </c>
      <c r="BN74" s="36" cm="1">
        <f t="array" aca="1" ref="BN74" ca="1">_FV(EC74,"Média de volume",TRUE)</f>
        <v>8158460</v>
      </c>
      <c r="BO74" s="36">
        <v>14293600</v>
      </c>
      <c r="BP74" s="36" cm="1">
        <f t="array" aca="1" ref="BP74" ca="1">_FV(EC74,"Volume")</f>
        <v>14293600</v>
      </c>
      <c r="BQ74" s="24" cm="1">
        <f t="array" aca="1" ref="BQ74" ca="1">_FV(EC74,"Beta")</f>
        <v>2.4916</v>
      </c>
      <c r="BR74" s="71" cm="1">
        <f t="array" aca="1" ref="BR74" ca="1">_FV(EC74,"Variação (%)",TRUE)</f>
        <v>3.0435E-2</v>
      </c>
      <c r="BT74" s="17" cm="1">
        <f t="array" aca="1" ref="BT74" ca="1">_FV(EC74,"Baixo")</f>
        <v>2.21</v>
      </c>
      <c r="BU74" s="17" cm="1">
        <f t="array" aca="1" ref="BU74" ca="1">_FV(EC74,"Alto")</f>
        <v>2.39</v>
      </c>
      <c r="BV74" s="24"/>
      <c r="BW74" s="63" t="e">
        <f ca="1">SQRT(22.5*(BL74/VLOOKUP(BM74,Fundamentus!A:U,3,FALSE))*(BL74/VLOOKUP(BM74,Fundamentus!A:U,4,FALSE)))</f>
        <v>#NUM!</v>
      </c>
      <c r="BY74" s="62">
        <f t="shared" ca="1" si="112"/>
        <v>0</v>
      </c>
      <c r="BZ74" s="8"/>
      <c r="CA74" s="61">
        <f t="shared" si="113"/>
        <v>1.4</v>
      </c>
      <c r="CB74" s="61">
        <f t="shared" si="114"/>
        <v>2.54</v>
      </c>
      <c r="CC74" s="61">
        <f t="shared" si="115"/>
        <v>2.0342857142857143</v>
      </c>
      <c r="CD74" s="14"/>
      <c r="CE74" s="35">
        <f t="shared" si="98"/>
        <v>2.2098201362194545</v>
      </c>
      <c r="CF74" s="15">
        <f t="shared" si="116"/>
        <v>2.3940000000000055</v>
      </c>
      <c r="CG74" s="35">
        <f t="shared" si="99"/>
        <v>2.5781798637805564</v>
      </c>
      <c r="CI74" s="14"/>
      <c r="CJ74" s="17">
        <f t="shared" si="100"/>
        <v>0.60666666666666602</v>
      </c>
      <c r="CK74" s="17">
        <f t="shared" si="101"/>
        <v>1.003333333333333</v>
      </c>
      <c r="CL74" s="17">
        <f t="shared" si="102"/>
        <v>1.7466666666666661</v>
      </c>
      <c r="CM74" s="38">
        <f t="shared" si="117"/>
        <v>2.1433333333333331</v>
      </c>
      <c r="CN74" s="17">
        <f t="shared" si="103"/>
        <v>2.8866666666666663</v>
      </c>
      <c r="CO74" s="17">
        <f t="shared" si="104"/>
        <v>3.2833333333333332</v>
      </c>
      <c r="CP74" s="17">
        <f t="shared" si="105"/>
        <v>4.0266666666666664</v>
      </c>
      <c r="CQ74" s="2" cm="1">
        <f t="array" aca="1" ref="CQ74" ca="1">MAX(_xlfn._xlws.FILTER(CJ74:CP74,CJ74:CP74&lt;BL74))</f>
        <v>2.1433333333333331</v>
      </c>
      <c r="CR74" s="2" cm="1">
        <f t="array" aca="1" ref="CR74" ca="1">MIN(_xlfn._xlws.FILTER($CJ74:$CP74,$CJ74:$CP74&gt;BL74))</f>
        <v>2.8866666666666663</v>
      </c>
      <c r="CS74" s="16">
        <f t="shared" ca="1" si="80"/>
        <v>0.34681181959564533</v>
      </c>
      <c r="CT74" s="20">
        <f t="shared" ca="1" si="81"/>
        <v>-0.17340590979782267</v>
      </c>
      <c r="CU74" s="20">
        <f t="shared" ca="1" si="82"/>
        <v>-0.11560393986521511</v>
      </c>
      <c r="CV74" s="20">
        <f t="shared" ca="1" si="83"/>
        <v>-6.9362363919129061E-2</v>
      </c>
      <c r="CW74" s="20">
        <f t="shared" ca="1" si="84"/>
        <v>-3.8534646621738368E-2</v>
      </c>
      <c r="CX74" s="20">
        <f t="shared" ca="1" si="85"/>
        <v>-2.040069527033208E-2</v>
      </c>
      <c r="CY74" s="20">
        <f t="shared" ca="1" si="86"/>
        <v>-1.0509449078655919E-2</v>
      </c>
      <c r="CZ74" s="20">
        <f t="shared" ca="1" si="87"/>
        <v>-5.3355664553176203E-3</v>
      </c>
      <c r="DA74" s="21">
        <f t="shared" ca="1" si="88"/>
        <v>5.3355664553176203E-3</v>
      </c>
      <c r="DB74" s="21">
        <f t="shared" ca="1" si="89"/>
        <v>1.0509449078655919E-2</v>
      </c>
      <c r="DC74" s="21">
        <f t="shared" ca="1" si="90"/>
        <v>2.040069527033208E-2</v>
      </c>
      <c r="DD74" s="21">
        <f t="shared" ca="1" si="91"/>
        <v>3.8534646621738368E-2</v>
      </c>
      <c r="DE74" s="21">
        <f t="shared" ca="1" si="92"/>
        <v>6.9362363919129061E-2</v>
      </c>
      <c r="DF74" s="21">
        <f t="shared" ca="1" si="93"/>
        <v>0.11560393986521511</v>
      </c>
      <c r="DG74" s="21">
        <f t="shared" ca="1" si="94"/>
        <v>0.17340590979782267</v>
      </c>
      <c r="DI74" s="16" cm="1">
        <f t="array" aca="1" ref="DI74" ca="1">MAX(_xlfn._xlws.FILTER(CT74:DG74,CT74:DG74&lt;BR74))</f>
        <v>2.040069527033208E-2</v>
      </c>
      <c r="DJ74" s="16" cm="1">
        <f t="array" aca="1" ref="DJ74" ca="1">MIN(_xlfn._xlws.FILTER(CT74:DG74,CT74:DG74&gt;BR74))</f>
        <v>3.8534646621738368E-2</v>
      </c>
      <c r="DK74" s="2" cm="1">
        <f t="array" aca="1" ref="DK74" ca="1">_FV(EC74,"Fechamento anterior",TRUE)</f>
        <v>2.2999999999999998</v>
      </c>
      <c r="DL74" s="28">
        <f t="shared" ca="1" si="106"/>
        <v>0.55333154611035729</v>
      </c>
      <c r="DM74" s="15">
        <f t="shared" ca="1" si="95"/>
        <v>2.3469215991217638</v>
      </c>
      <c r="DN74" s="15">
        <f t="shared" ca="1" si="96"/>
        <v>2.3886296872299981</v>
      </c>
      <c r="DO74" s="9"/>
      <c r="DP74" s="9"/>
      <c r="DQ74" s="9"/>
      <c r="DR74" s="89">
        <v>5.0199405649642625E-3</v>
      </c>
      <c r="DS74" s="89">
        <v>4.3733333333333332E-2</v>
      </c>
      <c r="DT74" s="89">
        <v>1.0671132910635241E-2</v>
      </c>
      <c r="DU74" s="89">
        <v>1.8133951351406288E-2</v>
      </c>
      <c r="DV74" s="89">
        <f t="shared" ca="1" si="107"/>
        <v>1.8133951351406288E-2</v>
      </c>
      <c r="DW74" s="72">
        <f t="shared" ca="1" si="108"/>
        <v>-0.13030740444352368</v>
      </c>
      <c r="DX74" s="37"/>
      <c r="DY74" s="35">
        <f t="shared" si="118"/>
        <v>9.2089931890275381E-2</v>
      </c>
      <c r="DZ74" s="56"/>
      <c r="EA74" s="56"/>
      <c r="EC74" s="2" t="e" vm="74">
        <v>#VALUE!</v>
      </c>
      <c r="EE74" s="10" cm="1">
        <f t="array" aca="1" ref="EE74" ca="1">_FV(EC74,"Ações em circulação",TRUE)</f>
        <v>525591100</v>
      </c>
      <c r="EF74" s="18">
        <f>VLOOKUP(BM74,Fundamentus!A:U,5,FALSE)</f>
        <v>0.84099999999999997</v>
      </c>
      <c r="EG74" s="2">
        <f t="shared" ca="1" si="109"/>
        <v>1481154467.3008325</v>
      </c>
      <c r="EH74" s="17">
        <v>-78353071.320214048</v>
      </c>
      <c r="EI74" s="17">
        <f t="shared" ca="1" si="110"/>
        <v>-78353071.320214048</v>
      </c>
      <c r="EK74" s="16">
        <f t="shared" ca="1" si="97"/>
        <v>0</v>
      </c>
      <c r="EL74" s="32" t="str">
        <f>IF(VLOOKUP(BM74,Fundamentus!A:U,3,FALSE)&lt;15,"Bom",IF(VLOOKUP(BM74,Fundamentus!A:U,3,FALSE)&gt;15,"Ruim","n/a"))</f>
        <v>Bom</v>
      </c>
      <c r="EM74" s="28" t="str">
        <f>IF(VLOOKUP(BM74,Fundamentus!A:U,4,FALSE)&lt;1,"Baixo",IF(VLOOKUP(BM74,Fundamentus!A:U,4,FALSE)&lt;1.5,"Moderado",IF(VLOOKUP(BM74,Fundamentus!A:U,4,FALSE)&gt;1.5,"Alto","n/a")))</f>
        <v>Alto</v>
      </c>
      <c r="EN74" s="17" t="str">
        <f>IF(VLOOKUP(BM74,Fundamentus!A:U,8,FALSE)&lt;0,"Risco elevado",IF(VLOOKUP(BM74,Fundamentus!A:U,8,FALSE)&lt;1,"Saudável",IF(VLOOKUP(BM74,Fundamentus!A:U,8,FALSE)&lt;3,"Estável",IF(VLOOKUP(BM74,Fundamentus!A:U,8,FALSE)&gt;3,"Alerta","n/a"))))</f>
        <v>Risco elevado</v>
      </c>
      <c r="EO74" s="28" t="str">
        <f t="shared" si="111"/>
        <v>Ruim</v>
      </c>
      <c r="EP74" s="17" t="str">
        <f>IF(VLOOKUP(BM74,Fundamentus!A:U,12,FALSE)&lt;2,"Subvalorizada",IF(VLOOKUP(BM74,Fundamentus!A:U,12,FALSE)&lt;6,"Muita barata",IF(VLOOKUP(BM74,Fundamentus!A:U,12,FALSE)&lt;6,"Barata",IF(VLOOKUP(BM74,Fundamentus!A:U,12,FALSE)&lt;8,"Atrativa",IF(VLOOKUP(BM74,Fundamentus!A:U,12,FALSE)&gt;8,"Supervalorizada","n/a")))))</f>
        <v>Muita barata</v>
      </c>
      <c r="ER74" s="17" t="str">
        <f>IF(VLOOKUP(BM74,Fundamentus!A:U,17,FALSE)&lt;0.1,"Fraco retorno",IF(VLOOKUP(BM74,Fundamentus!A:U,17,FALSE)&gt;0.1,"Bom retorno","n/a"))</f>
        <v>Fraco retorno</v>
      </c>
      <c r="ES74" s="17" t="str">
        <f>IF(VLOOKUP(BM74,Fundamentus!A:U,16,FALSE)&lt;0.1,"Ineficiente",IF(VLOOKUP(BM74,Fundamentus!A:U,16,FALSE)&gt;0.1,"Eficiente","n/a"))</f>
        <v>Ineficiente</v>
      </c>
      <c r="ET74" s="33" t="str">
        <f>IF(VLOOKUP(BM74,Fundamentus!A:U,16,FALSE)&lt;0.1,"Oper. Ineficiente",IF(VLOOKUP(BM74,Fundamentus!A:U,16,FALSE)&gt;0.1,"Oper.Eficiente","n/a"))</f>
        <v>Oper. Ineficiente</v>
      </c>
      <c r="EU74" s="34">
        <f>VLOOKUP(BM74,Fundamentus!A:U,14,FALSE)</f>
        <v>-5.2900000000000003E-2</v>
      </c>
      <c r="EV74" s="17" t="str">
        <f>IF(VLOOKUP(BM74,Fundamentus!A:U,21,FALSE)&lt;0,"Negativo",IF(VLOOKUP(BM74,Fundamentus!A:U,21,FALSE)&lt;0.05,"Fraco",IF(VLOOKUP(BM74,Fundamentus!A:U,21,FALSE)&lt;0.1,"Bom",IF(VLOOKUP(BM74,Fundamentus!A:U,21,FALSE)&gt;0.1,"Muito bom","n/a"))))</f>
        <v>Muito bom</v>
      </c>
      <c r="EX74" s="29" t="str">
        <f>IF(VLOOKUP(BM74,Fundamentus!A:U,15,FALSE)&gt;1,"Bom",IF(VLOOKUP(BM74,Fundamentus!A:U,15,FALSE)&lt;1,"Ruim","n/a"))</f>
        <v>Ruim</v>
      </c>
      <c r="EY74" s="17" t="str">
        <f>IF(VLOOKUP(BM74,Fundamentus!A:U,20,FALSE)&lt;0.5,"Baixa",IF(VLOOKUP(BM74,Fundamentus!A:U,20,FALSE)&lt;1,"Moderada",IF(VLOOKUP(BM74,Fundamentus!A:U,20,FALSE)&lt;2,"Alerta",IF(VLOOKUP(BM74,Fundamentus!A:U,20,FALSE)&gt;2,"Alta","n/a"))))</f>
        <v>Alerta</v>
      </c>
      <c r="EZ74" s="10"/>
    </row>
    <row r="75" spans="1:156" s="2" customFormat="1" ht="11.25" x14ac:dyDescent="0.2">
      <c r="A75" s="4">
        <v>40.35</v>
      </c>
      <c r="B75" s="4">
        <v>39.46</v>
      </c>
      <c r="C75" s="4">
        <v>41.74</v>
      </c>
      <c r="D75" s="4">
        <v>40.4</v>
      </c>
      <c r="E75" s="4">
        <v>40.69</v>
      </c>
      <c r="F75" s="4">
        <v>39.36</v>
      </c>
      <c r="G75" s="4">
        <v>37.68</v>
      </c>
      <c r="H75" s="4">
        <v>37.5</v>
      </c>
      <c r="I75" s="4">
        <v>38.56</v>
      </c>
      <c r="J75" s="4">
        <v>40.479999999999997</v>
      </c>
      <c r="K75" s="4">
        <v>42.02</v>
      </c>
      <c r="L75" s="4">
        <v>42.62</v>
      </c>
      <c r="M75" s="4">
        <v>43.84</v>
      </c>
      <c r="N75" s="4">
        <v>42.2</v>
      </c>
      <c r="O75" s="4">
        <v>44.58</v>
      </c>
      <c r="P75" s="4">
        <v>45.42</v>
      </c>
      <c r="Q75" s="4">
        <v>45.9</v>
      </c>
      <c r="R75" s="4">
        <v>46.27</v>
      </c>
      <c r="S75" s="4">
        <v>45.76</v>
      </c>
      <c r="T75" s="4">
        <v>48.86</v>
      </c>
      <c r="U75" s="4">
        <v>46.1</v>
      </c>
      <c r="V75" s="4">
        <v>48.05</v>
      </c>
      <c r="W75" s="4">
        <v>45.82</v>
      </c>
      <c r="X75" s="4">
        <v>45.32</v>
      </c>
      <c r="Y75" s="4">
        <v>46.69</v>
      </c>
      <c r="Z75" s="4">
        <v>46.72</v>
      </c>
      <c r="AA75" s="4">
        <v>45.75</v>
      </c>
      <c r="AB75" s="4">
        <v>46.49</v>
      </c>
      <c r="AC75" s="4">
        <v>45.35</v>
      </c>
      <c r="AD75" s="4">
        <v>44.25</v>
      </c>
      <c r="AE75" s="4">
        <v>41.71</v>
      </c>
      <c r="AF75" s="4">
        <v>41.46</v>
      </c>
      <c r="AG75" s="4">
        <v>41.26</v>
      </c>
      <c r="AH75" s="4">
        <v>38.79</v>
      </c>
      <c r="AI75" s="4">
        <v>38.06</v>
      </c>
      <c r="AJ75" s="4">
        <v>37.4</v>
      </c>
      <c r="AK75" s="4">
        <v>36.85</v>
      </c>
      <c r="AL75" s="4">
        <v>36.76</v>
      </c>
      <c r="AM75" s="4">
        <v>38.67</v>
      </c>
      <c r="AN75" s="4">
        <v>41.44</v>
      </c>
      <c r="AO75" s="4">
        <v>42.65</v>
      </c>
      <c r="AP75" s="4">
        <v>45.05</v>
      </c>
      <c r="AQ75" s="4">
        <v>43.58</v>
      </c>
      <c r="AR75" s="4">
        <v>41.62</v>
      </c>
      <c r="AS75" s="4">
        <v>42.05</v>
      </c>
      <c r="AT75" s="4">
        <v>43.65</v>
      </c>
      <c r="AU75" s="4">
        <v>43.475000000000001</v>
      </c>
      <c r="AV75" s="4">
        <v>42.67</v>
      </c>
      <c r="AW75" s="4">
        <v>41.47</v>
      </c>
      <c r="AX75" s="4">
        <v>41.46</v>
      </c>
      <c r="AY75" s="12">
        <v>44.55</v>
      </c>
      <c r="AZ75" s="12">
        <v>48.7</v>
      </c>
      <c r="BA75" s="12">
        <v>49.04</v>
      </c>
      <c r="BB75" s="15">
        <v>48.03</v>
      </c>
      <c r="BC75" s="52">
        <v>51.8</v>
      </c>
      <c r="BD75" s="52">
        <v>51.55</v>
      </c>
      <c r="BE75" s="52">
        <v>51.91</v>
      </c>
      <c r="BF75" s="52">
        <v>53.21</v>
      </c>
      <c r="BG75" s="67">
        <v>51.72</v>
      </c>
      <c r="BH75" s="52">
        <v>52.5</v>
      </c>
      <c r="BI75" s="52">
        <v>53.51</v>
      </c>
      <c r="BJ75" s="52">
        <v>53.6</v>
      </c>
      <c r="BK75" s="52">
        <v>51.22</v>
      </c>
      <c r="BL75" s="52" cm="1">
        <f t="array" aca="1" ref="BL75" ca="1">_FV(EC75,"Preço")</f>
        <v>51.22</v>
      </c>
      <c r="BM75" s="69" t="s">
        <v>72</v>
      </c>
      <c r="BN75" s="36" cm="1">
        <f t="array" aca="1" ref="BN75" ca="1">_FV(EC75,"Média de volume",TRUE)</f>
        <v>369340</v>
      </c>
      <c r="BO75" s="36">
        <v>374700</v>
      </c>
      <c r="BP75" s="36" cm="1">
        <f t="array" aca="1" ref="BP75" ca="1">_FV(EC75,"Volume")</f>
        <v>374700</v>
      </c>
      <c r="BQ75" s="24" cm="1">
        <f t="array" aca="1" ref="BQ75" ca="1">_FV(EC75,"Beta")</f>
        <v>0.89400000000000002</v>
      </c>
      <c r="BR75" s="71" cm="1">
        <f t="array" aca="1" ref="BR75" ca="1">_FV(EC75,"Variação (%)",TRUE)</f>
        <v>-6.4019999999999997E-3</v>
      </c>
      <c r="BT75" s="17" cm="1">
        <f t="array" aca="1" ref="BT75" ca="1">_FV(EC75,"Baixo")</f>
        <v>51.13</v>
      </c>
      <c r="BU75" s="17" cm="1">
        <f t="array" aca="1" ref="BU75" ca="1">_FV(EC75,"Alto")</f>
        <v>52.03</v>
      </c>
      <c r="BV75" s="24"/>
      <c r="BW75" s="63">
        <f ca="1">SQRT(22.5*(BL75/VLOOKUP(BM75,Fundamentus!A:U,3,FALSE))*(BL75/VLOOKUP(BM75,Fundamentus!A:U,4,FALSE)))</f>
        <v>7.3159816823585651</v>
      </c>
      <c r="BY75" s="62">
        <f t="shared" ca="1" si="112"/>
        <v>0</v>
      </c>
      <c r="BZ75" s="8"/>
      <c r="CA75" s="61">
        <f t="shared" si="113"/>
        <v>36.76</v>
      </c>
      <c r="CB75" s="61">
        <f t="shared" si="114"/>
        <v>53.6</v>
      </c>
      <c r="CC75" s="61">
        <f t="shared" si="115"/>
        <v>44.216587301587303</v>
      </c>
      <c r="CD75" s="14"/>
      <c r="CE75" s="35">
        <f t="shared" si="98"/>
        <v>50.715425565711143</v>
      </c>
      <c r="CF75" s="15">
        <f t="shared" si="116"/>
        <v>52.519999999999982</v>
      </c>
      <c r="CG75" s="35">
        <f t="shared" si="99"/>
        <v>54.32457443428882</v>
      </c>
      <c r="CI75" s="14"/>
      <c r="CJ75" s="17">
        <f t="shared" si="100"/>
        <v>25.533333333333339</v>
      </c>
      <c r="CK75" s="17">
        <f t="shared" si="101"/>
        <v>31.146666666666668</v>
      </c>
      <c r="CL75" s="17">
        <f t="shared" si="102"/>
        <v>42.373333333333342</v>
      </c>
      <c r="CM75" s="38">
        <f t="shared" si="117"/>
        <v>47.986666666666672</v>
      </c>
      <c r="CN75" s="17">
        <f t="shared" si="103"/>
        <v>59.213333333333345</v>
      </c>
      <c r="CO75" s="17">
        <f t="shared" si="104"/>
        <v>64.826666666666682</v>
      </c>
      <c r="CP75" s="17">
        <f t="shared" si="105"/>
        <v>76.053333333333342</v>
      </c>
      <c r="CQ75" s="2" cm="1">
        <f t="array" aca="1" ref="CQ75" ca="1">MAX(_xlfn._xlws.FILTER(CJ75:CP75,CJ75:CP75&lt;BL75))</f>
        <v>47.986666666666672</v>
      </c>
      <c r="CR75" s="2" cm="1">
        <f t="array" aca="1" ref="CR75" ca="1">MIN(_xlfn._xlws.FILTER($CJ75:$CP75,$CJ75:$CP75&gt;BL75))</f>
        <v>59.213333333333345</v>
      </c>
      <c r="CS75" s="16">
        <f t="shared" ca="1" si="80"/>
        <v>0.23395387607668816</v>
      </c>
      <c r="CT75" s="20">
        <f t="shared" ca="1" si="81"/>
        <v>-0.11697693803834408</v>
      </c>
      <c r="CU75" s="20">
        <f t="shared" ca="1" si="82"/>
        <v>-7.7984625358896054E-2</v>
      </c>
      <c r="CV75" s="20">
        <f t="shared" ca="1" si="83"/>
        <v>-4.6790775215337629E-2</v>
      </c>
      <c r="CW75" s="20">
        <f t="shared" ca="1" si="84"/>
        <v>-2.5994875119632017E-2</v>
      </c>
      <c r="CX75" s="20">
        <f t="shared" ca="1" si="85"/>
        <v>-1.3761992710393422E-2</v>
      </c>
      <c r="CY75" s="20">
        <f t="shared" ca="1" si="86"/>
        <v>-7.089511396263278E-3</v>
      </c>
      <c r="CZ75" s="20">
        <f t="shared" ca="1" si="87"/>
        <v>-3.5992904011798179E-3</v>
      </c>
      <c r="DA75" s="21">
        <f t="shared" ca="1" si="88"/>
        <v>3.5992904011798179E-3</v>
      </c>
      <c r="DB75" s="21">
        <f t="shared" ca="1" si="89"/>
        <v>7.089511396263278E-3</v>
      </c>
      <c r="DC75" s="21">
        <f t="shared" ca="1" si="90"/>
        <v>1.3761992710393422E-2</v>
      </c>
      <c r="DD75" s="21">
        <f t="shared" ca="1" si="91"/>
        <v>2.5994875119632017E-2</v>
      </c>
      <c r="DE75" s="21">
        <f t="shared" ca="1" si="92"/>
        <v>4.6790775215337629E-2</v>
      </c>
      <c r="DF75" s="21">
        <f t="shared" ca="1" si="93"/>
        <v>7.7984625358896054E-2</v>
      </c>
      <c r="DG75" s="21">
        <f t="shared" ca="1" si="94"/>
        <v>0.11697693803834408</v>
      </c>
      <c r="DI75" s="16" cm="1">
        <f t="array" aca="1" ref="DI75" ca="1">MAX(_xlfn._xlws.FILTER(CT75:DG75,CT75:DG75&lt;BR75))</f>
        <v>-7.089511396263278E-3</v>
      </c>
      <c r="DJ75" s="16" cm="1">
        <f t="array" aca="1" ref="DJ75" ca="1">MIN(_xlfn._xlws.FILTER(CT75:DG75,CT75:DG75&gt;BR75))</f>
        <v>-3.5992904011798179E-3</v>
      </c>
      <c r="DK75" s="2" cm="1">
        <f t="array" aca="1" ref="DK75" ca="1">_FV(EC75,"Fechamento anterior",TRUE)</f>
        <v>51.55</v>
      </c>
      <c r="DL75" s="28">
        <f t="shared" ca="1" si="106"/>
        <v>0.19711058579522708</v>
      </c>
      <c r="DM75" s="15">
        <f t="shared" ca="1" si="95"/>
        <v>51.184535687522626</v>
      </c>
      <c r="DN75" s="15">
        <f t="shared" ca="1" si="96"/>
        <v>51.364456579819176</v>
      </c>
      <c r="DO75" s="9"/>
      <c r="DP75" s="9"/>
      <c r="DQ75" s="9"/>
      <c r="DR75" s="89">
        <v>5.9979127018233219E-3</v>
      </c>
      <c r="DS75" s="89">
        <v>6.8209579960585671E-3</v>
      </c>
      <c r="DT75" s="89">
        <v>7.1985808023596358E-3</v>
      </c>
      <c r="DU75" s="89">
        <v>3.4902209950834601E-3</v>
      </c>
      <c r="DV75" s="89">
        <f t="shared" ca="1" si="107"/>
        <v>3.4902209950834601E-3</v>
      </c>
      <c r="DW75" s="72">
        <f t="shared" ca="1" si="108"/>
        <v>-0.72039145368492252</v>
      </c>
      <c r="DX75" s="37"/>
      <c r="DY75" s="35">
        <f t="shared" si="118"/>
        <v>0.90228721714442073</v>
      </c>
      <c r="DZ75" s="56"/>
      <c r="EA75" s="56"/>
      <c r="EC75" s="2" t="e" vm="75">
        <v>#VALUE!</v>
      </c>
      <c r="EE75" s="10" cm="1">
        <f t="array" aca="1" ref="EE75" ca="1">_FV(EC75,"Ações em circulação",TRUE)</f>
        <v>88656280</v>
      </c>
      <c r="EF75" s="18">
        <f>VLOOKUP(BM75,Fundamentus!A:U,5,FALSE)</f>
        <v>5.3170000000000002</v>
      </c>
      <c r="EG75" s="2">
        <f t="shared" ca="1" si="109"/>
        <v>854048271.88264048</v>
      </c>
      <c r="EH75" s="17">
        <v>37236504.654083125</v>
      </c>
      <c r="EI75" s="17">
        <f t="shared" ca="1" si="110"/>
        <v>37236504.654083125</v>
      </c>
      <c r="EK75" s="16">
        <f t="shared" ca="1" si="97"/>
        <v>0</v>
      </c>
      <c r="EL75" s="32" t="str">
        <f>IF(VLOOKUP(BM75,Fundamentus!A:U,3,FALSE)&lt;15,"Bom",IF(VLOOKUP(BM75,Fundamentus!A:U,3,FALSE)&gt;15,"Ruim","n/a"))</f>
        <v>Ruim</v>
      </c>
      <c r="EM75" s="28" t="str">
        <f>IF(VLOOKUP(BM75,Fundamentus!A:U,4,FALSE)&lt;1,"Baixo",IF(VLOOKUP(BM75,Fundamentus!A:U,4,FALSE)&lt;1.5,"Moderado",IF(VLOOKUP(BM75,Fundamentus!A:U,4,FALSE)&gt;1.5,"Alto","n/a")))</f>
        <v>Alto</v>
      </c>
      <c r="EN75" s="17" t="str">
        <f>IF(VLOOKUP(BM75,Fundamentus!A:U,8,FALSE)&lt;0,"Risco elevado",IF(VLOOKUP(BM75,Fundamentus!A:U,8,FALSE)&lt;1,"Saudável",IF(VLOOKUP(BM75,Fundamentus!A:U,8,FALSE)&lt;3,"Estável",IF(VLOOKUP(BM75,Fundamentus!A:U,8,FALSE)&gt;3,"Alerta","n/a"))))</f>
        <v>Alerta</v>
      </c>
      <c r="EO75" s="28" t="str">
        <f t="shared" si="111"/>
        <v>Bom</v>
      </c>
      <c r="EP75" s="17" t="str">
        <f>IF(VLOOKUP(BM75,Fundamentus!A:U,12,FALSE)&lt;2,"Subvalorizada",IF(VLOOKUP(BM75,Fundamentus!A:U,12,FALSE)&lt;6,"Muita barata",IF(VLOOKUP(BM75,Fundamentus!A:U,12,FALSE)&lt;6,"Barata",IF(VLOOKUP(BM75,Fundamentus!A:U,12,FALSE)&lt;8,"Atrativa",IF(VLOOKUP(BM75,Fundamentus!A:U,12,FALSE)&gt;8,"Supervalorizada","n/a")))))</f>
        <v>Supervalorizada</v>
      </c>
      <c r="ER75" s="17" t="str">
        <f>IF(VLOOKUP(BM75,Fundamentus!A:U,17,FALSE)&lt;0.1,"Fraco retorno",IF(VLOOKUP(BM75,Fundamentus!A:U,17,FALSE)&gt;0.1,"Bom retorno","n/a"))</f>
        <v>Fraco retorno</v>
      </c>
      <c r="ES75" s="17" t="str">
        <f>IF(VLOOKUP(BM75,Fundamentus!A:U,16,FALSE)&lt;0.1,"Ineficiente",IF(VLOOKUP(BM75,Fundamentus!A:U,16,FALSE)&gt;0.1,"Eficiente","n/a"))</f>
        <v>Ineficiente</v>
      </c>
      <c r="ET75" s="33" t="str">
        <f>IF(VLOOKUP(BM75,Fundamentus!A:U,16,FALSE)&lt;0.1,"Oper. Ineficiente",IF(VLOOKUP(BM75,Fundamentus!A:U,16,FALSE)&gt;0.1,"Oper.Eficiente","n/a"))</f>
        <v>Oper. Ineficiente</v>
      </c>
      <c r="EU75" s="34">
        <f>VLOOKUP(BM75,Fundamentus!A:U,14,FALSE)</f>
        <v>4.36E-2</v>
      </c>
      <c r="EV75" s="17" t="str">
        <f>IF(VLOOKUP(BM75,Fundamentus!A:U,21,FALSE)&lt;0,"Negativo",IF(VLOOKUP(BM75,Fundamentus!A:U,21,FALSE)&lt;0.05,"Fraco",IF(VLOOKUP(BM75,Fundamentus!A:U,21,FALSE)&lt;0.1,"Bom",IF(VLOOKUP(BM75,Fundamentus!A:U,21,FALSE)&gt;0.1,"Muito bom","n/a"))))</f>
        <v>Muito bom</v>
      </c>
      <c r="EX75" s="29" t="str">
        <f>IF(VLOOKUP(BM75,Fundamentus!A:U,15,FALSE)&gt;1,"Bom",IF(VLOOKUP(BM75,Fundamentus!A:U,15,FALSE)&lt;1,"Ruim","n/a"))</f>
        <v>Bom</v>
      </c>
      <c r="EY75" s="17" t="str">
        <f>IF(VLOOKUP(BM75,Fundamentus!A:U,20,FALSE)&lt;0.5,"Baixa",IF(VLOOKUP(BM75,Fundamentus!A:U,20,FALSE)&lt;1,"Moderada",IF(VLOOKUP(BM75,Fundamentus!A:U,20,FALSE)&lt;2,"Alerta",IF(VLOOKUP(BM75,Fundamentus!A:U,20,FALSE)&gt;2,"Alta","n/a"))))</f>
        <v>Alta</v>
      </c>
      <c r="EZ75" s="10"/>
    </row>
    <row r="76" spans="1:156" s="2" customFormat="1" ht="11.25" x14ac:dyDescent="0.2">
      <c r="A76" s="4">
        <v>44.5</v>
      </c>
      <c r="B76" s="4">
        <v>39.51</v>
      </c>
      <c r="C76" s="4">
        <v>37.42</v>
      </c>
      <c r="D76" s="4">
        <v>33.56</v>
      </c>
      <c r="E76" s="4">
        <v>31.41</v>
      </c>
      <c r="F76" s="4">
        <v>31.64</v>
      </c>
      <c r="G76" s="4">
        <v>31.93</v>
      </c>
      <c r="H76" s="4">
        <v>31.63</v>
      </c>
      <c r="I76" s="4">
        <v>31.6</v>
      </c>
      <c r="J76" s="4">
        <v>30.6</v>
      </c>
      <c r="K76" s="4">
        <v>31.47</v>
      </c>
      <c r="L76" s="4">
        <v>29.99</v>
      </c>
      <c r="M76" s="4">
        <v>29.21</v>
      </c>
      <c r="N76" s="4">
        <v>28.65</v>
      </c>
      <c r="O76" s="4">
        <v>29.44</v>
      </c>
      <c r="P76" s="4">
        <v>44.53</v>
      </c>
      <c r="Q76" s="4">
        <v>47.93</v>
      </c>
      <c r="R76" s="4">
        <v>48.38</v>
      </c>
      <c r="S76" s="4">
        <v>49.89</v>
      </c>
      <c r="T76" s="4">
        <v>47.34</v>
      </c>
      <c r="U76" s="4">
        <v>45.22</v>
      </c>
      <c r="V76" s="4">
        <v>45.55</v>
      </c>
      <c r="W76" s="4">
        <v>44.59</v>
      </c>
      <c r="X76" s="4">
        <v>43.47</v>
      </c>
      <c r="Y76" s="4">
        <v>41.88</v>
      </c>
      <c r="Z76" s="4">
        <v>41.35</v>
      </c>
      <c r="AA76" s="4">
        <v>41.69</v>
      </c>
      <c r="AB76" s="4">
        <v>40.82</v>
      </c>
      <c r="AC76" s="4">
        <v>40</v>
      </c>
      <c r="AD76" s="4">
        <v>39.43</v>
      </c>
      <c r="AE76" s="4">
        <v>41</v>
      </c>
      <c r="AF76" s="4">
        <v>38.96</v>
      </c>
      <c r="AG76" s="4">
        <v>39.5</v>
      </c>
      <c r="AH76" s="4">
        <v>38.5</v>
      </c>
      <c r="AI76" s="4">
        <v>43.35</v>
      </c>
      <c r="AJ76" s="4">
        <v>42.05</v>
      </c>
      <c r="AK76" s="4">
        <v>46.08</v>
      </c>
      <c r="AL76" s="4">
        <v>52.21</v>
      </c>
      <c r="AM76" s="4">
        <v>49.6</v>
      </c>
      <c r="AN76" s="4">
        <v>52.9</v>
      </c>
      <c r="AO76" s="4">
        <v>51.97</v>
      </c>
      <c r="AP76" s="4">
        <v>57.08</v>
      </c>
      <c r="AQ76" s="4">
        <v>54.17</v>
      </c>
      <c r="AR76" s="4">
        <v>47.14</v>
      </c>
      <c r="AS76" s="4">
        <v>46.91</v>
      </c>
      <c r="AT76" s="4">
        <v>48.54</v>
      </c>
      <c r="AU76" s="4">
        <v>51.994999999999997</v>
      </c>
      <c r="AV76" s="4">
        <v>52.21</v>
      </c>
      <c r="AW76" s="4">
        <v>48.82</v>
      </c>
      <c r="AX76" s="4">
        <v>44.63</v>
      </c>
      <c r="AY76" s="12">
        <v>46.03</v>
      </c>
      <c r="AZ76" s="12">
        <v>48.08</v>
      </c>
      <c r="BA76" s="12">
        <v>47.83</v>
      </c>
      <c r="BB76" s="15">
        <v>47.32</v>
      </c>
      <c r="BC76" s="52">
        <v>46.76</v>
      </c>
      <c r="BD76" s="52">
        <v>46.45</v>
      </c>
      <c r="BE76" s="52">
        <v>49.16</v>
      </c>
      <c r="BF76" s="52">
        <v>50.79</v>
      </c>
      <c r="BG76" s="67">
        <v>47.05</v>
      </c>
      <c r="BH76" s="52">
        <v>47.32</v>
      </c>
      <c r="BI76" s="52">
        <v>44.28</v>
      </c>
      <c r="BJ76" s="52">
        <v>46.6</v>
      </c>
      <c r="BK76" s="52">
        <v>44.36</v>
      </c>
      <c r="BL76" s="52" cm="1">
        <f t="array" aca="1" ref="BL76" ca="1">_FV(EC76,"Preço")</f>
        <v>44.36</v>
      </c>
      <c r="BM76" s="69" t="s">
        <v>73</v>
      </c>
      <c r="BN76" s="36" cm="1">
        <f t="array" aca="1" ref="BN76" ca="1">_FV(EC76,"Média de volume",TRUE)</f>
        <v>548830</v>
      </c>
      <c r="BO76" s="36">
        <v>405300</v>
      </c>
      <c r="BP76" s="36" cm="1">
        <f t="array" aca="1" ref="BP76" ca="1">_FV(EC76,"Volume")</f>
        <v>405300</v>
      </c>
      <c r="BQ76" s="24" cm="1">
        <f t="array" aca="1" ref="BQ76" ca="1">_FV(EC76,"Beta")</f>
        <v>1.4404999999999999</v>
      </c>
      <c r="BR76" s="71" cm="1">
        <f t="array" aca="1" ref="BR76" ca="1">_FV(EC76,"Variação (%)",TRUE)</f>
        <v>-4.712E-3</v>
      </c>
      <c r="BT76" s="17" cm="1">
        <f t="array" aca="1" ref="BT76" ca="1">_FV(EC76,"Baixo")</f>
        <v>44.02</v>
      </c>
      <c r="BU76" s="17" cm="1">
        <f t="array" aca="1" ref="BU76" ca="1">_FV(EC76,"Alto")</f>
        <v>44.79</v>
      </c>
      <c r="BV76" s="24"/>
      <c r="BW76" s="63" t="e">
        <f ca="1">SQRT(22.5*(BL76/VLOOKUP(BM76,Fundamentus!A:U,3,FALSE))*(BL76/VLOOKUP(BM76,Fundamentus!A:U,4,FALSE)))</f>
        <v>#NUM!</v>
      </c>
      <c r="BY76" s="62">
        <f t="shared" ca="1" si="112"/>
        <v>0</v>
      </c>
      <c r="BZ76" s="8"/>
      <c r="CA76" s="61">
        <f t="shared" si="113"/>
        <v>28.65</v>
      </c>
      <c r="CB76" s="61">
        <f t="shared" si="114"/>
        <v>57.08</v>
      </c>
      <c r="CC76" s="61">
        <f t="shared" si="115"/>
        <v>43.083730158730177</v>
      </c>
      <c r="CD76" s="14"/>
      <c r="CE76" s="35">
        <f t="shared" si="98"/>
        <v>40.947725846272974</v>
      </c>
      <c r="CF76" s="15">
        <f t="shared" si="116"/>
        <v>45.311999999999898</v>
      </c>
      <c r="CG76" s="35">
        <f t="shared" si="99"/>
        <v>49.676274153726823</v>
      </c>
      <c r="CI76" s="14"/>
      <c r="CJ76" s="17">
        <f t="shared" si="100"/>
        <v>2.7099999999999866</v>
      </c>
      <c r="CK76" s="17">
        <f t="shared" si="101"/>
        <v>15.679999999999993</v>
      </c>
      <c r="CL76" s="17">
        <f t="shared" si="102"/>
        <v>31.139999999999986</v>
      </c>
      <c r="CM76" s="38">
        <f t="shared" si="117"/>
        <v>44.109999999999992</v>
      </c>
      <c r="CN76" s="17">
        <f t="shared" si="103"/>
        <v>59.569999999999986</v>
      </c>
      <c r="CO76" s="17">
        <f t="shared" si="104"/>
        <v>72.539999999999992</v>
      </c>
      <c r="CP76" s="17">
        <f t="shared" si="105"/>
        <v>87.999999999999986</v>
      </c>
      <c r="CQ76" s="2" cm="1">
        <f t="array" aca="1" ref="CQ76" ca="1">MAX(_xlfn._xlws.FILTER(CJ76:CP76,CJ76:CP76&lt;BL76))</f>
        <v>44.109999999999992</v>
      </c>
      <c r="CR76" s="2" cm="1">
        <f t="array" aca="1" ref="CR76" ca="1">MIN(_xlfn._xlws.FILTER($CJ76:$CP76,$CJ76:$CP76&gt;BL76))</f>
        <v>59.569999999999986</v>
      </c>
      <c r="CS76" s="16">
        <f t="shared" ca="1" si="80"/>
        <v>0.35048741781908865</v>
      </c>
      <c r="CT76" s="20">
        <f t="shared" ca="1" si="81"/>
        <v>-0.17524370890954433</v>
      </c>
      <c r="CU76" s="20">
        <f t="shared" ca="1" si="82"/>
        <v>-0.11682913927302956</v>
      </c>
      <c r="CV76" s="20">
        <f t="shared" ca="1" si="83"/>
        <v>-7.0097483563817731E-2</v>
      </c>
      <c r="CW76" s="20">
        <f t="shared" ca="1" si="84"/>
        <v>-3.8943046424343181E-2</v>
      </c>
      <c r="CX76" s="20">
        <f t="shared" ca="1" si="85"/>
        <v>-2.0616906930534626E-2</v>
      </c>
      <c r="CY76" s="20">
        <f t="shared" ca="1" si="86"/>
        <v>-1.0620830843002686E-2</v>
      </c>
      <c r="CZ76" s="20">
        <f t="shared" ca="1" si="87"/>
        <v>-5.3921141202936717E-3</v>
      </c>
      <c r="DA76" s="21">
        <f t="shared" ca="1" si="88"/>
        <v>5.3921141202936717E-3</v>
      </c>
      <c r="DB76" s="21">
        <f t="shared" ca="1" si="89"/>
        <v>1.0620830843002686E-2</v>
      </c>
      <c r="DC76" s="21">
        <f t="shared" ca="1" si="90"/>
        <v>2.0616906930534626E-2</v>
      </c>
      <c r="DD76" s="21">
        <f t="shared" ca="1" si="91"/>
        <v>3.8943046424343181E-2</v>
      </c>
      <c r="DE76" s="21">
        <f t="shared" ca="1" si="92"/>
        <v>7.0097483563817731E-2</v>
      </c>
      <c r="DF76" s="21">
        <f t="shared" ca="1" si="93"/>
        <v>0.11682913927302956</v>
      </c>
      <c r="DG76" s="21">
        <f t="shared" ca="1" si="94"/>
        <v>0.17524370890954433</v>
      </c>
      <c r="DI76" s="16" cm="1">
        <f t="array" aca="1" ref="DI76" ca="1">MAX(_xlfn._xlws.FILTER(CT76:DG76,CT76:DG76&lt;BR76))</f>
        <v>-5.3921141202936717E-3</v>
      </c>
      <c r="DJ76" s="16" cm="1">
        <f t="array" aca="1" ref="DJ76" ca="1">MIN(_xlfn._xlws.FILTER(CT76:DG76,CT76:DG76&gt;BR76))</f>
        <v>5.3921141202936717E-3</v>
      </c>
      <c r="DK76" s="2" cm="1">
        <f t="array" aca="1" ref="DK76" ca="1">_FV(EC76,"Fechamento anterior",TRUE)</f>
        <v>44.57</v>
      </c>
      <c r="DL76" s="28">
        <f t="shared" ca="1" si="106"/>
        <v>6.3094421583736626E-2</v>
      </c>
      <c r="DM76" s="15">
        <f t="shared" ca="1" si="95"/>
        <v>44.329673473658509</v>
      </c>
      <c r="DN76" s="15">
        <f t="shared" ca="1" si="96"/>
        <v>44.810326526341491</v>
      </c>
      <c r="DO76" s="9"/>
      <c r="DP76" s="9"/>
      <c r="DQ76" s="9"/>
      <c r="DR76" s="89">
        <v>1.0461963744617508E-2</v>
      </c>
      <c r="DS76" s="89">
        <v>1.8441237015969215E-2</v>
      </c>
      <c r="DT76" s="89">
        <v>5.2287167227090146E-3</v>
      </c>
      <c r="DU76" s="89">
        <v>1.0784228240587343E-2</v>
      </c>
      <c r="DV76" s="89">
        <f t="shared" ca="1" si="107"/>
        <v>1.0784228240587343E-2</v>
      </c>
      <c r="DW76" s="72">
        <f t="shared" ca="1" si="108"/>
        <v>-0.21813478403663683</v>
      </c>
      <c r="DX76" s="37"/>
      <c r="DY76" s="35">
        <f t="shared" si="118"/>
        <v>2.1821370768634631</v>
      </c>
      <c r="DZ76" s="56"/>
      <c r="EA76" s="56"/>
      <c r="EC76" s="2" t="e" vm="76">
        <v>#VALUE!</v>
      </c>
      <c r="EE76" s="10" cm="1">
        <f t="array" aca="1" ref="EE76" ca="1">_FV(EC76,"Ações em circulação",TRUE)</f>
        <v>81842890</v>
      </c>
      <c r="EF76" s="18">
        <f>VLOOKUP(BM76,Fundamentus!A:U,5,FALSE)</f>
        <v>0.64200000000000002</v>
      </c>
      <c r="EG76" s="2">
        <f t="shared" ca="1" si="109"/>
        <v>5655063240.4984426</v>
      </c>
      <c r="EH76" s="17">
        <v>-96701581.412523374</v>
      </c>
      <c r="EI76" s="17">
        <f t="shared" ca="1" si="110"/>
        <v>-96701581.412523374</v>
      </c>
      <c r="EK76" s="16">
        <f t="shared" ca="1" si="97"/>
        <v>0</v>
      </c>
      <c r="EL76" s="32" t="str">
        <f>IF(VLOOKUP(BM76,Fundamentus!A:U,3,FALSE)&lt;15,"Bom",IF(VLOOKUP(BM76,Fundamentus!A:U,3,FALSE)&gt;15,"Ruim","n/a"))</f>
        <v>Bom</v>
      </c>
      <c r="EM76" s="28" t="str">
        <f>IF(VLOOKUP(BM76,Fundamentus!A:U,4,FALSE)&lt;1,"Baixo",IF(VLOOKUP(BM76,Fundamentus!A:U,4,FALSE)&lt;1.5,"Moderado",IF(VLOOKUP(BM76,Fundamentus!A:U,4,FALSE)&gt;1.5,"Alto","n/a")))</f>
        <v>Baixo</v>
      </c>
      <c r="EN76" s="17" t="str">
        <f>IF(VLOOKUP(BM76,Fundamentus!A:U,8,FALSE)&lt;0,"Risco elevado",IF(VLOOKUP(BM76,Fundamentus!A:U,8,FALSE)&lt;1,"Saudável",IF(VLOOKUP(BM76,Fundamentus!A:U,8,FALSE)&lt;3,"Estável",IF(VLOOKUP(BM76,Fundamentus!A:U,8,FALSE)&gt;3,"Alerta","n/a"))))</f>
        <v>Saudável</v>
      </c>
      <c r="EO76" s="28" t="str">
        <f t="shared" si="111"/>
        <v>Ruim</v>
      </c>
      <c r="EP76" s="17" t="str">
        <f>IF(VLOOKUP(BM76,Fundamentus!A:U,12,FALSE)&lt;2,"Subvalorizada",IF(VLOOKUP(BM76,Fundamentus!A:U,12,FALSE)&lt;6,"Muita barata",IF(VLOOKUP(BM76,Fundamentus!A:U,12,FALSE)&lt;6,"Barata",IF(VLOOKUP(BM76,Fundamentus!A:U,12,FALSE)&lt;8,"Atrativa",IF(VLOOKUP(BM76,Fundamentus!A:U,12,FALSE)&gt;8,"Supervalorizada","n/a")))))</f>
        <v>Subvalorizada</v>
      </c>
      <c r="ER76" s="17" t="str">
        <f>IF(VLOOKUP(BM76,Fundamentus!A:U,17,FALSE)&lt;0.1,"Fraco retorno",IF(VLOOKUP(BM76,Fundamentus!A:U,17,FALSE)&gt;0.1,"Bom retorno","n/a"))</f>
        <v>Fraco retorno</v>
      </c>
      <c r="ES76" s="17" t="str">
        <f>IF(VLOOKUP(BM76,Fundamentus!A:U,16,FALSE)&lt;0.1,"Ineficiente",IF(VLOOKUP(BM76,Fundamentus!A:U,16,FALSE)&gt;0.1,"Eficiente","n/a"))</f>
        <v>Ineficiente</v>
      </c>
      <c r="ET76" s="33" t="str">
        <f>IF(VLOOKUP(BM76,Fundamentus!A:U,16,FALSE)&lt;0.1,"Oper. Ineficiente",IF(VLOOKUP(BM76,Fundamentus!A:U,16,FALSE)&gt;0.1,"Oper.Eficiente","n/a"))</f>
        <v>Oper. Ineficiente</v>
      </c>
      <c r="EU76" s="34">
        <f>VLOOKUP(BM76,Fundamentus!A:U,14,FALSE)</f>
        <v>-1.7100000000000001E-2</v>
      </c>
      <c r="EV76" s="17" t="str">
        <f>IF(VLOOKUP(BM76,Fundamentus!A:U,21,FALSE)&lt;0,"Negativo",IF(VLOOKUP(BM76,Fundamentus!A:U,21,FALSE)&lt;0.05,"Fraco",IF(VLOOKUP(BM76,Fundamentus!A:U,21,FALSE)&lt;0.1,"Bom",IF(VLOOKUP(BM76,Fundamentus!A:U,21,FALSE)&gt;0.1,"Muito bom","n/a"))))</f>
        <v>Fraco</v>
      </c>
      <c r="EX76" s="29" t="str">
        <f>IF(VLOOKUP(BM76,Fundamentus!A:U,15,FALSE)&gt;1,"Bom",IF(VLOOKUP(BM76,Fundamentus!A:U,15,FALSE)&lt;1,"Ruim","n/a"))</f>
        <v>Ruim</v>
      </c>
      <c r="EY76" s="17" t="str">
        <f>IF(VLOOKUP(BM76,Fundamentus!A:U,20,FALSE)&lt;0.5,"Baixa",IF(VLOOKUP(BM76,Fundamentus!A:U,20,FALSE)&lt;1,"Moderada",IF(VLOOKUP(BM76,Fundamentus!A:U,20,FALSE)&lt;2,"Alerta",IF(VLOOKUP(BM76,Fundamentus!A:U,20,FALSE)&gt;2,"Alta","n/a"))))</f>
        <v>Baixa</v>
      </c>
      <c r="EZ76" s="10"/>
    </row>
    <row r="77" spans="1:156" s="2" customFormat="1" ht="11.25" x14ac:dyDescent="0.2">
      <c r="A77" s="4">
        <v>9.85</v>
      </c>
      <c r="B77" s="4">
        <v>10.130000000000001</v>
      </c>
      <c r="C77" s="4">
        <v>11.29</v>
      </c>
      <c r="D77" s="4">
        <v>11.64</v>
      </c>
      <c r="E77" s="4">
        <v>11.94</v>
      </c>
      <c r="F77" s="4">
        <v>11.75</v>
      </c>
      <c r="G77" s="4">
        <v>11.35</v>
      </c>
      <c r="H77" s="4">
        <v>11.45</v>
      </c>
      <c r="I77" s="4">
        <v>11.2</v>
      </c>
      <c r="J77" s="4">
        <v>11.19</v>
      </c>
      <c r="K77" s="4">
        <v>11.28</v>
      </c>
      <c r="L77" s="4">
        <v>11.44</v>
      </c>
      <c r="M77" s="4">
        <v>11.55</v>
      </c>
      <c r="N77" s="4">
        <v>12.43</v>
      </c>
      <c r="O77" s="4">
        <v>15.86</v>
      </c>
      <c r="P77" s="4">
        <v>15</v>
      </c>
      <c r="Q77" s="4">
        <v>13.03</v>
      </c>
      <c r="R77" s="4">
        <v>13.49</v>
      </c>
      <c r="S77" s="4">
        <v>15.41</v>
      </c>
      <c r="T77" s="4">
        <v>14.37</v>
      </c>
      <c r="U77" s="4">
        <v>14.07</v>
      </c>
      <c r="V77" s="4">
        <v>14.32</v>
      </c>
      <c r="W77" s="4">
        <v>14.04</v>
      </c>
      <c r="X77" s="4">
        <v>13.82</v>
      </c>
      <c r="Y77" s="4">
        <v>13.08</v>
      </c>
      <c r="Z77" s="4">
        <v>13.5</v>
      </c>
      <c r="AA77" s="4">
        <v>13.23</v>
      </c>
      <c r="AB77" s="4">
        <v>14.97</v>
      </c>
      <c r="AC77" s="4">
        <v>14.49</v>
      </c>
      <c r="AD77" s="4">
        <v>13.86</v>
      </c>
      <c r="AE77" s="4">
        <v>14.28</v>
      </c>
      <c r="AF77" s="4">
        <v>13.68</v>
      </c>
      <c r="AG77" s="4">
        <v>13.26</v>
      </c>
      <c r="AH77" s="4">
        <v>13.03</v>
      </c>
      <c r="AI77" s="4">
        <v>13.33</v>
      </c>
      <c r="AJ77" s="4">
        <v>13.22</v>
      </c>
      <c r="AK77" s="4">
        <v>13.16</v>
      </c>
      <c r="AL77" s="4">
        <v>13.6</v>
      </c>
      <c r="AM77" s="4">
        <v>13.88</v>
      </c>
      <c r="AN77" s="4">
        <v>13.63</v>
      </c>
      <c r="AO77" s="4">
        <v>13.84</v>
      </c>
      <c r="AP77" s="4">
        <v>13.52</v>
      </c>
      <c r="AQ77" s="4">
        <v>13.39</v>
      </c>
      <c r="AR77" s="4">
        <v>13.1</v>
      </c>
      <c r="AS77" s="4">
        <v>13.78</v>
      </c>
      <c r="AT77" s="4">
        <v>13</v>
      </c>
      <c r="AU77" s="4">
        <v>13.085000000000001</v>
      </c>
      <c r="AV77" s="4">
        <v>13.82</v>
      </c>
      <c r="AW77" s="4">
        <v>13.39</v>
      </c>
      <c r="AX77" s="4">
        <v>13.5</v>
      </c>
      <c r="AY77" s="12">
        <v>14.22</v>
      </c>
      <c r="AZ77" s="12">
        <v>14.22</v>
      </c>
      <c r="BA77" s="12">
        <v>13.97</v>
      </c>
      <c r="BB77" s="15">
        <v>14.07</v>
      </c>
      <c r="BC77" s="52">
        <v>15.38</v>
      </c>
      <c r="BD77" s="52">
        <v>14.57</v>
      </c>
      <c r="BE77" s="52">
        <v>14.62</v>
      </c>
      <c r="BF77" s="52">
        <v>14.42</v>
      </c>
      <c r="BG77" s="67">
        <v>14.65</v>
      </c>
      <c r="BH77" s="52">
        <v>14.05</v>
      </c>
      <c r="BI77" s="52">
        <v>14.1</v>
      </c>
      <c r="BJ77" s="52">
        <v>14.5</v>
      </c>
      <c r="BK77" s="52">
        <v>14.3</v>
      </c>
      <c r="BL77" s="52" cm="1">
        <f t="array" aca="1" ref="BL77" ca="1">_FV(EC77,"Preço")</f>
        <v>14.3</v>
      </c>
      <c r="BM77" s="69" t="s">
        <v>74</v>
      </c>
      <c r="BN77" s="36" cm="1">
        <f t="array" aca="1" ref="BN77" ca="1">_FV(EC77,"Média de volume",TRUE)</f>
        <v>11050</v>
      </c>
      <c r="BO77" s="36">
        <v>6200</v>
      </c>
      <c r="BP77" s="36" cm="1">
        <f t="array" aca="1" ref="BP77" ca="1">_FV(EC77,"Volume")</f>
        <v>6200</v>
      </c>
      <c r="BQ77" s="24" cm="1">
        <f t="array" aca="1" ref="BQ77" ca="1">_FV(EC77,"Beta")</f>
        <v>0.50849999999999995</v>
      </c>
      <c r="BR77" s="71" cm="1">
        <f t="array" aca="1" ref="BR77" ca="1">_FV(EC77,"Variação (%)",TRUE)</f>
        <v>1.3466000000000001E-2</v>
      </c>
      <c r="BT77" s="17" cm="1">
        <f t="array" aca="1" ref="BT77" ca="1">_FV(EC77,"Baixo")</f>
        <v>14.1</v>
      </c>
      <c r="BU77" s="17" cm="1">
        <f t="array" aca="1" ref="BU77" ca="1">_FV(EC77,"Alto")</f>
        <v>14.39</v>
      </c>
      <c r="BV77" s="24"/>
      <c r="BW77" s="63">
        <f ca="1">SQRT(22.5*(BL77/VLOOKUP(BM77,Fundamentus!A:U,3,FALSE))*(BL77/VLOOKUP(BM77,Fundamentus!A:U,4,FALSE)))</f>
        <v>36.73031363164818</v>
      </c>
      <c r="BY77" s="62">
        <f t="shared" ca="1" si="112"/>
        <v>0</v>
      </c>
      <c r="BZ77" s="8"/>
      <c r="CA77" s="61">
        <f t="shared" si="113"/>
        <v>9.85</v>
      </c>
      <c r="CB77" s="61">
        <f t="shared" si="114"/>
        <v>15.86</v>
      </c>
      <c r="CC77" s="61">
        <f t="shared" si="115"/>
        <v>13.358650793650797</v>
      </c>
      <c r="CD77" s="14"/>
      <c r="CE77" s="35">
        <f t="shared" si="98"/>
        <v>13.86968965579365</v>
      </c>
      <c r="CF77" s="15">
        <f t="shared" si="116"/>
        <v>14.294999999999959</v>
      </c>
      <c r="CG77" s="35">
        <f t="shared" si="99"/>
        <v>14.720310344206268</v>
      </c>
      <c r="CI77" s="14"/>
      <c r="CJ77" s="17">
        <f t="shared" si="100"/>
        <v>4.9366666666666692</v>
      </c>
      <c r="CK77" s="17">
        <f t="shared" si="101"/>
        <v>7.3933333333333344</v>
      </c>
      <c r="CL77" s="17">
        <f t="shared" si="102"/>
        <v>10.946666666666669</v>
      </c>
      <c r="CM77" s="38">
        <f t="shared" si="117"/>
        <v>13.403333333333334</v>
      </c>
      <c r="CN77" s="17">
        <f t="shared" si="103"/>
        <v>16.956666666666671</v>
      </c>
      <c r="CO77" s="17">
        <f t="shared" si="104"/>
        <v>19.413333333333334</v>
      </c>
      <c r="CP77" s="17">
        <f t="shared" si="105"/>
        <v>22.966666666666669</v>
      </c>
      <c r="CQ77" s="2" cm="1">
        <f t="array" aca="1" ref="CQ77" ca="1">MAX(_xlfn._xlws.FILTER(CJ77:CP77,CJ77:CP77&lt;BL77))</f>
        <v>13.403333333333334</v>
      </c>
      <c r="CR77" s="2" cm="1">
        <f t="array" aca="1" ref="CR77" ca="1">MIN(_xlfn._xlws.FILTER($CJ77:$CP77,$CJ77:$CP77&gt;BL77))</f>
        <v>16.956666666666671</v>
      </c>
      <c r="CS77" s="16">
        <f t="shared" ca="1" si="80"/>
        <v>0.26510818204426778</v>
      </c>
      <c r="CT77" s="20">
        <f t="shared" ca="1" si="81"/>
        <v>-0.13255409102213389</v>
      </c>
      <c r="CU77" s="20">
        <f t="shared" ca="1" si="82"/>
        <v>-8.8369394014755923E-2</v>
      </c>
      <c r="CV77" s="20">
        <f t="shared" ca="1" si="83"/>
        <v>-5.3021636408853559E-2</v>
      </c>
      <c r="CW77" s="20">
        <f t="shared" ca="1" si="84"/>
        <v>-2.945646467158531E-2</v>
      </c>
      <c r="CX77" s="20">
        <f t="shared" ca="1" si="85"/>
        <v>-1.5594598943780458E-2</v>
      </c>
      <c r="CY77" s="20">
        <f t="shared" ca="1" si="86"/>
        <v>-8.0335812740687206E-3</v>
      </c>
      <c r="CZ77" s="20">
        <f t="shared" ca="1" si="87"/>
        <v>-4.0785874160656583E-3</v>
      </c>
      <c r="DA77" s="21">
        <f t="shared" ca="1" si="88"/>
        <v>4.0785874160656583E-3</v>
      </c>
      <c r="DB77" s="21">
        <f t="shared" ca="1" si="89"/>
        <v>8.0335812740687206E-3</v>
      </c>
      <c r="DC77" s="21">
        <f t="shared" ca="1" si="90"/>
        <v>1.5594598943780458E-2</v>
      </c>
      <c r="DD77" s="21">
        <f t="shared" ca="1" si="91"/>
        <v>2.945646467158531E-2</v>
      </c>
      <c r="DE77" s="21">
        <f t="shared" ca="1" si="92"/>
        <v>5.3021636408853559E-2</v>
      </c>
      <c r="DF77" s="21">
        <f t="shared" ca="1" si="93"/>
        <v>8.8369394014755923E-2</v>
      </c>
      <c r="DG77" s="21">
        <f t="shared" ca="1" si="94"/>
        <v>0.13255409102213389</v>
      </c>
      <c r="DI77" s="16" cm="1">
        <f t="array" aca="1" ref="DI77" ca="1">MAX(_xlfn._xlws.FILTER(CT77:DG77,CT77:DG77&lt;BR77))</f>
        <v>8.0335812740687206E-3</v>
      </c>
      <c r="DJ77" s="16" cm="1">
        <f t="array" aca="1" ref="DJ77" ca="1">MIN(_xlfn._xlws.FILTER(CT77:DG77,CT77:DG77&gt;BR77))</f>
        <v>1.5594598943780458E-2</v>
      </c>
      <c r="DK77" s="2" cm="1">
        <f t="array" aca="1" ref="DK77" ca="1">_FV(EC77,"Fechamento anterior",TRUE)</f>
        <v>14.11</v>
      </c>
      <c r="DL77" s="28">
        <f t="shared" ca="1" si="106"/>
        <v>0.71842788602817975</v>
      </c>
      <c r="DM77" s="15">
        <f t="shared" ca="1" si="95"/>
        <v>14.223353831777109</v>
      </c>
      <c r="DN77" s="15">
        <f t="shared" ca="1" si="96"/>
        <v>14.330039791096741</v>
      </c>
      <c r="DO77" s="9"/>
      <c r="DP77" s="9"/>
      <c r="DQ77" s="9"/>
      <c r="DR77" s="89">
        <v>8.2467259871779486E-3</v>
      </c>
      <c r="DS77" s="89">
        <v>8.2412136921552158E-3</v>
      </c>
      <c r="DT77" s="89">
        <v>3.9549938580030622E-3</v>
      </c>
      <c r="DU77" s="89">
        <v>7.5610176697117372E-3</v>
      </c>
      <c r="DV77" s="89">
        <f t="shared" ca="1" si="107"/>
        <v>7.5610176697117372E-3</v>
      </c>
      <c r="DW77" s="72">
        <f t="shared" ca="1" si="108"/>
        <v>1.1756121308011827E-2</v>
      </c>
      <c r="DX77" s="37"/>
      <c r="DY77" s="35">
        <f t="shared" si="118"/>
        <v>0.21265517210315441</v>
      </c>
      <c r="DZ77" s="56"/>
      <c r="EA77" s="56"/>
      <c r="EC77" s="2" t="e" vm="77">
        <v>#VALUE!</v>
      </c>
      <c r="EE77" s="10" cm="1">
        <f t="array" aca="1" ref="EE77" ca="1">_FV(EC77,"Ações em circulação",TRUE)</f>
        <v>22500000</v>
      </c>
      <c r="EF77" s="18">
        <f>VLOOKUP(BM77,Fundamentus!A:U,5,FALSE)</f>
        <v>0.56100000000000005</v>
      </c>
      <c r="EG77" s="2">
        <f t="shared" ca="1" si="109"/>
        <v>573529411.76470578</v>
      </c>
      <c r="EH77" s="17">
        <v>92510294.117647037</v>
      </c>
      <c r="EI77" s="17">
        <f t="shared" ca="1" si="110"/>
        <v>92510294.117647037</v>
      </c>
      <c r="EK77" s="16">
        <f t="shared" ca="1" si="97"/>
        <v>0</v>
      </c>
      <c r="EL77" s="32" t="str">
        <f>IF(VLOOKUP(BM77,Fundamentus!A:U,3,FALSE)&lt;15,"Bom",IF(VLOOKUP(BM77,Fundamentus!A:U,3,FALSE)&gt;15,"Ruim","n/a"))</f>
        <v>Bom</v>
      </c>
      <c r="EM77" s="28" t="str">
        <f>IF(VLOOKUP(BM77,Fundamentus!A:U,4,FALSE)&lt;1,"Baixo",IF(VLOOKUP(BM77,Fundamentus!A:U,4,FALSE)&lt;1.5,"Moderado",IF(VLOOKUP(BM77,Fundamentus!A:U,4,FALSE)&gt;1.5,"Alto","n/a")))</f>
        <v>Baixo</v>
      </c>
      <c r="EN77" s="17" t="str">
        <f>IF(VLOOKUP(BM77,Fundamentus!A:U,8,FALSE)&lt;0,"Risco elevado",IF(VLOOKUP(BM77,Fundamentus!A:U,8,FALSE)&lt;1,"Saudável",IF(VLOOKUP(BM77,Fundamentus!A:U,8,FALSE)&lt;3,"Estável",IF(VLOOKUP(BM77,Fundamentus!A:U,8,FALSE)&gt;3,"Alerta","n/a"))))</f>
        <v>Alerta</v>
      </c>
      <c r="EO77" s="28" t="str">
        <f t="shared" si="111"/>
        <v>Ruim</v>
      </c>
      <c r="EP77" s="17" t="str">
        <f>IF(VLOOKUP(BM77,Fundamentus!A:U,12,FALSE)&lt;2,"Subvalorizada",IF(VLOOKUP(BM77,Fundamentus!A:U,12,FALSE)&lt;6,"Muita barata",IF(VLOOKUP(BM77,Fundamentus!A:U,12,FALSE)&lt;6,"Barata",IF(VLOOKUP(BM77,Fundamentus!A:U,12,FALSE)&lt;8,"Atrativa",IF(VLOOKUP(BM77,Fundamentus!A:U,12,FALSE)&gt;8,"Supervalorizada","n/a")))))</f>
        <v>Muita barata</v>
      </c>
      <c r="ER77" s="17" t="str">
        <f>IF(VLOOKUP(BM77,Fundamentus!A:U,17,FALSE)&lt;0.1,"Fraco retorno",IF(VLOOKUP(BM77,Fundamentus!A:U,17,FALSE)&gt;0.1,"Bom retorno","n/a"))</f>
        <v>Bom retorno</v>
      </c>
      <c r="ES77" s="17" t="str">
        <f>IF(VLOOKUP(BM77,Fundamentus!A:U,16,FALSE)&lt;0.1,"Ineficiente",IF(VLOOKUP(BM77,Fundamentus!A:U,16,FALSE)&gt;0.1,"Eficiente","n/a"))</f>
        <v>Eficiente</v>
      </c>
      <c r="ET77" s="33" t="str">
        <f>IF(VLOOKUP(BM77,Fundamentus!A:U,16,FALSE)&lt;0.1,"Oper. Ineficiente",IF(VLOOKUP(BM77,Fundamentus!A:U,16,FALSE)&gt;0.1,"Oper.Eficiente","n/a"))</f>
        <v>Oper.Eficiente</v>
      </c>
      <c r="EU77" s="34">
        <f>VLOOKUP(BM77,Fundamentus!A:U,14,FALSE)</f>
        <v>0.1613</v>
      </c>
      <c r="EV77" s="17" t="str">
        <f>IF(VLOOKUP(BM77,Fundamentus!A:U,21,FALSE)&lt;0,"Negativo",IF(VLOOKUP(BM77,Fundamentus!A:U,21,FALSE)&lt;0.05,"Fraco",IF(VLOOKUP(BM77,Fundamentus!A:U,21,FALSE)&lt;0.1,"Bom",IF(VLOOKUP(BM77,Fundamentus!A:U,21,FALSE)&gt;0.1,"Muito bom","n/a"))))</f>
        <v>Muito bom</v>
      </c>
      <c r="EX77" s="29" t="str">
        <f>IF(VLOOKUP(BM77,Fundamentus!A:U,15,FALSE)&gt;1,"Bom",IF(VLOOKUP(BM77,Fundamentus!A:U,15,FALSE)&lt;1,"Ruim","n/a"))</f>
        <v>Bom</v>
      </c>
      <c r="EY77" s="17" t="str">
        <f>IF(VLOOKUP(BM77,Fundamentus!A:U,20,FALSE)&lt;0.5,"Baixa",IF(VLOOKUP(BM77,Fundamentus!A:U,20,FALSE)&lt;1,"Moderada",IF(VLOOKUP(BM77,Fundamentus!A:U,20,FALSE)&lt;2,"Alerta",IF(VLOOKUP(BM77,Fundamentus!A:U,20,FALSE)&gt;2,"Alta","n/a"))))</f>
        <v>Baixa</v>
      </c>
      <c r="EZ77" s="10"/>
    </row>
    <row r="78" spans="1:156" s="2" customFormat="1" ht="11.25" x14ac:dyDescent="0.2">
      <c r="A78" s="4">
        <v>5.98</v>
      </c>
      <c r="B78" s="4">
        <v>5.93</v>
      </c>
      <c r="C78" s="4">
        <v>6.44</v>
      </c>
      <c r="D78" s="4">
        <v>6.15</v>
      </c>
      <c r="E78" s="4">
        <v>6.18</v>
      </c>
      <c r="F78" s="4">
        <v>6.27</v>
      </c>
      <c r="G78" s="4">
        <v>6.09</v>
      </c>
      <c r="H78" s="4">
        <v>5.92</v>
      </c>
      <c r="I78" s="4">
        <v>5.78</v>
      </c>
      <c r="J78" s="4">
        <v>6</v>
      </c>
      <c r="K78" s="4">
        <v>6.1</v>
      </c>
      <c r="L78" s="4">
        <v>6.04</v>
      </c>
      <c r="M78" s="4">
        <v>5.93</v>
      </c>
      <c r="N78" s="4">
        <v>5.9</v>
      </c>
      <c r="O78" s="4">
        <v>6.17</v>
      </c>
      <c r="P78" s="4">
        <v>6.19</v>
      </c>
      <c r="Q78" s="4">
        <v>6.22</v>
      </c>
      <c r="R78" s="4">
        <v>6</v>
      </c>
      <c r="S78" s="4">
        <v>6.03</v>
      </c>
      <c r="T78" s="4">
        <v>6.18</v>
      </c>
      <c r="U78" s="4">
        <v>5.67</v>
      </c>
      <c r="V78" s="4">
        <v>5.62</v>
      </c>
      <c r="W78" s="4">
        <v>5.66</v>
      </c>
      <c r="X78" s="4">
        <v>5.46</v>
      </c>
      <c r="Y78" s="4">
        <v>5.25</v>
      </c>
      <c r="Z78" s="4">
        <v>5.24</v>
      </c>
      <c r="AA78" s="4">
        <v>5.2</v>
      </c>
      <c r="AB78" s="4">
        <v>5.28</v>
      </c>
      <c r="AC78" s="4">
        <v>5.31</v>
      </c>
      <c r="AD78" s="4">
        <v>5.29</v>
      </c>
      <c r="AE78" s="4">
        <v>5.18</v>
      </c>
      <c r="AF78" s="4">
        <v>5.28</v>
      </c>
      <c r="AG78" s="4">
        <v>5.28</v>
      </c>
      <c r="AH78" s="4">
        <v>5.01</v>
      </c>
      <c r="AI78" s="4">
        <v>5.01</v>
      </c>
      <c r="AJ78" s="4">
        <v>5.18</v>
      </c>
      <c r="AK78" s="4">
        <v>5.15</v>
      </c>
      <c r="AL78" s="4">
        <v>5.42</v>
      </c>
      <c r="AM78" s="4">
        <v>5.56</v>
      </c>
      <c r="AN78" s="4">
        <v>5.72</v>
      </c>
      <c r="AO78" s="4">
        <v>5.6</v>
      </c>
      <c r="AP78" s="4">
        <v>5.65</v>
      </c>
      <c r="AQ78" s="4">
        <v>5.46</v>
      </c>
      <c r="AR78" s="4">
        <v>5.59</v>
      </c>
      <c r="AS78" s="4">
        <v>5.86</v>
      </c>
      <c r="AT78" s="4">
        <v>5.82</v>
      </c>
      <c r="AU78" s="4">
        <v>5.6400000000000006</v>
      </c>
      <c r="AV78" s="4">
        <v>5.67</v>
      </c>
      <c r="AW78" s="4">
        <v>5.68</v>
      </c>
      <c r="AX78" s="4">
        <v>5.58</v>
      </c>
      <c r="AY78" s="12">
        <v>5.59</v>
      </c>
      <c r="AZ78" s="12">
        <v>5.36</v>
      </c>
      <c r="BA78" s="12">
        <v>5.56</v>
      </c>
      <c r="BB78" s="15">
        <v>5.64</v>
      </c>
      <c r="BC78" s="52">
        <v>5.39</v>
      </c>
      <c r="BD78" s="52">
        <v>5.28</v>
      </c>
      <c r="BE78" s="52">
        <v>5.39</v>
      </c>
      <c r="BF78" s="52">
        <v>5.32</v>
      </c>
      <c r="BG78" s="67">
        <v>5.5</v>
      </c>
      <c r="BH78" s="52">
        <v>5.38</v>
      </c>
      <c r="BI78" s="52">
        <v>5.4</v>
      </c>
      <c r="BJ78" s="52">
        <v>5.46</v>
      </c>
      <c r="BK78" s="52">
        <v>5.31</v>
      </c>
      <c r="BL78" s="52" cm="1">
        <f t="array" aca="1" ref="BL78" ca="1">_FV(EC78,"Preço")</f>
        <v>5.31</v>
      </c>
      <c r="BM78" s="69" t="s">
        <v>75</v>
      </c>
      <c r="BN78" s="36" cm="1">
        <f t="array" aca="1" ref="BN78" ca="1">_FV(EC78,"Média de volume",TRUE)</f>
        <v>3814550</v>
      </c>
      <c r="BO78" s="36">
        <v>3766400</v>
      </c>
      <c r="BP78" s="36" cm="1">
        <f t="array" aca="1" ref="BP78" ca="1">_FV(EC78,"Volume")</f>
        <v>3766400</v>
      </c>
      <c r="BQ78" s="24" cm="1">
        <f t="array" aca="1" ref="BQ78" ca="1">_FV(EC78,"Beta")</f>
        <v>0.87109999999999999</v>
      </c>
      <c r="BR78" s="71" cm="1">
        <f t="array" aca="1" ref="BR78" ca="1">_FV(EC78,"Variação (%)",TRUE)</f>
        <v>-5.6179999999999997E-3</v>
      </c>
      <c r="BT78" s="17" cm="1">
        <f t="array" aca="1" ref="BT78" ca="1">_FV(EC78,"Baixo")</f>
        <v>5.28</v>
      </c>
      <c r="BU78" s="17" cm="1">
        <f t="array" aca="1" ref="BU78" ca="1">_FV(EC78,"Alto")</f>
        <v>5.35</v>
      </c>
      <c r="BV78" s="24"/>
      <c r="BW78" s="63">
        <f ca="1">SQRT(22.5*(BL78/VLOOKUP(BM78,Fundamentus!A:U,3,FALSE))*(BL78/VLOOKUP(BM78,Fundamentus!A:U,4,FALSE)))</f>
        <v>8.4810864003742008</v>
      </c>
      <c r="BY78" s="62">
        <f t="shared" ca="1" si="112"/>
        <v>0</v>
      </c>
      <c r="BZ78" s="8"/>
      <c r="CA78" s="61">
        <f t="shared" si="113"/>
        <v>5.01</v>
      </c>
      <c r="CB78" s="61">
        <f t="shared" si="114"/>
        <v>6.44</v>
      </c>
      <c r="CC78" s="61">
        <f t="shared" si="115"/>
        <v>5.641269841269839</v>
      </c>
      <c r="CD78" s="14"/>
      <c r="CE78" s="35">
        <f t="shared" si="98"/>
        <v>5.2425227291513199</v>
      </c>
      <c r="CF78" s="15">
        <f t="shared" si="116"/>
        <v>5.3799999999999955</v>
      </c>
      <c r="CG78" s="35">
        <f t="shared" si="99"/>
        <v>5.517477270848671</v>
      </c>
      <c r="CI78" s="14"/>
      <c r="CJ78" s="17">
        <f t="shared" si="100"/>
        <v>3.4033333333333324</v>
      </c>
      <c r="CK78" s="17">
        <f t="shared" si="101"/>
        <v>4.2066666666666661</v>
      </c>
      <c r="CL78" s="17">
        <f t="shared" si="102"/>
        <v>4.833333333333333</v>
      </c>
      <c r="CM78" s="38">
        <f t="shared" si="117"/>
        <v>5.6366666666666667</v>
      </c>
      <c r="CN78" s="17">
        <f t="shared" si="103"/>
        <v>6.2633333333333336</v>
      </c>
      <c r="CO78" s="17">
        <f t="shared" si="104"/>
        <v>7.0666666666666673</v>
      </c>
      <c r="CP78" s="17">
        <f t="shared" si="105"/>
        <v>7.6933333333333342</v>
      </c>
      <c r="CQ78" s="2" cm="1">
        <f t="array" aca="1" ref="CQ78" ca="1">MAX(_xlfn._xlws.FILTER(CJ78:CP78,CJ78:CP78&lt;BL78))</f>
        <v>4.833333333333333</v>
      </c>
      <c r="CR78" s="2" cm="1">
        <f t="array" aca="1" ref="CR78" ca="1">MIN(_xlfn._xlws.FILTER($CJ78:$CP78,$CJ78:$CP78&gt;BL78))</f>
        <v>5.6366666666666667</v>
      </c>
      <c r="CS78" s="16">
        <f t="shared" ca="1" si="80"/>
        <v>0.16620689655172427</v>
      </c>
      <c r="CT78" s="20">
        <f t="shared" ca="1" si="81"/>
        <v>-8.3103448275862135E-2</v>
      </c>
      <c r="CU78" s="20">
        <f t="shared" ca="1" si="82"/>
        <v>-5.5402298850574759E-2</v>
      </c>
      <c r="CV78" s="20">
        <f t="shared" ca="1" si="83"/>
        <v>-3.3241379310344855E-2</v>
      </c>
      <c r="CW78" s="20">
        <f t="shared" ca="1" si="84"/>
        <v>-1.8467432950191584E-2</v>
      </c>
      <c r="CX78" s="20">
        <f t="shared" ca="1" si="85"/>
        <v>-9.7768762677484869E-3</v>
      </c>
      <c r="CY78" s="20">
        <f t="shared" ca="1" si="86"/>
        <v>-5.0365726227795237E-3</v>
      </c>
      <c r="CZ78" s="20">
        <f t="shared" ca="1" si="87"/>
        <v>-2.557029177718835E-3</v>
      </c>
      <c r="DA78" s="21">
        <f t="shared" ca="1" si="88"/>
        <v>2.557029177718835E-3</v>
      </c>
      <c r="DB78" s="21">
        <f t="shared" ca="1" si="89"/>
        <v>5.0365726227795237E-3</v>
      </c>
      <c r="DC78" s="21">
        <f t="shared" ca="1" si="90"/>
        <v>9.7768762677484869E-3</v>
      </c>
      <c r="DD78" s="21">
        <f t="shared" ca="1" si="91"/>
        <v>1.8467432950191584E-2</v>
      </c>
      <c r="DE78" s="21">
        <f t="shared" ca="1" si="92"/>
        <v>3.3241379310344855E-2</v>
      </c>
      <c r="DF78" s="21">
        <f t="shared" ca="1" si="93"/>
        <v>5.5402298850574759E-2</v>
      </c>
      <c r="DG78" s="21">
        <f t="shared" ca="1" si="94"/>
        <v>8.3103448275862135E-2</v>
      </c>
      <c r="DI78" s="16" cm="1">
        <f t="array" aca="1" ref="DI78" ca="1">MAX(_xlfn._xlws.FILTER(CT78:DG78,CT78:DG78&lt;BR78))</f>
        <v>-9.7768762677484869E-3</v>
      </c>
      <c r="DJ78" s="16" cm="1">
        <f t="array" aca="1" ref="DJ78" ca="1">MIN(_xlfn._xlws.FILTER(CT78:DG78,CT78:DG78&gt;BR78))</f>
        <v>-5.0365726227795237E-3</v>
      </c>
      <c r="DK78" s="2" cm="1">
        <f t="array" aca="1" ref="DK78" ca="1">_FV(EC78,"Fechamento anterior",TRUE)</f>
        <v>5.34</v>
      </c>
      <c r="DL78" s="28">
        <f t="shared" ca="1" si="106"/>
        <v>0.87734859434006229</v>
      </c>
      <c r="DM78" s="15">
        <f t="shared" ca="1" si="95"/>
        <v>5.2877914807302231</v>
      </c>
      <c r="DN78" s="15">
        <f t="shared" ca="1" si="96"/>
        <v>5.3131047021943569</v>
      </c>
      <c r="DO78" s="9"/>
      <c r="DP78" s="9"/>
      <c r="DQ78" s="9"/>
      <c r="DR78" s="89">
        <v>1.081081081081082E-2</v>
      </c>
      <c r="DS78" s="89">
        <v>4.6360482090329648E-3</v>
      </c>
      <c r="DT78" s="89">
        <v>8.6905566824430971E-3</v>
      </c>
      <c r="DU78" s="89">
        <v>4.7403036449689632E-3</v>
      </c>
      <c r="DV78" s="89">
        <f t="shared" ca="1" si="107"/>
        <v>4.7403036449689632E-3</v>
      </c>
      <c r="DW78" s="72">
        <f t="shared" ca="1" si="108"/>
        <v>-0.50917507721728394</v>
      </c>
      <c r="DX78" s="37"/>
      <c r="DY78" s="35">
        <f t="shared" si="118"/>
        <v>6.8738635424337627E-2</v>
      </c>
      <c r="DZ78" s="56"/>
      <c r="EA78" s="56"/>
      <c r="EC78" s="2" t="e" vm="78">
        <v>#VALUE!</v>
      </c>
      <c r="EE78" s="10" cm="1">
        <f t="array" aca="1" ref="EE78" ca="1">_FV(EC78,"Ações em circulação",TRUE)</f>
        <v>902160000</v>
      </c>
      <c r="EF78" s="18">
        <f>VLOOKUP(BM78,Fundamentus!A:U,5,FALSE)</f>
        <v>1.87</v>
      </c>
      <c r="EG78" s="2">
        <f t="shared" ca="1" si="109"/>
        <v>2561748449.1978607</v>
      </c>
      <c r="EH78" s="17">
        <v>684499185.62566841</v>
      </c>
      <c r="EI78" s="17">
        <f t="shared" ca="1" si="110"/>
        <v>684499185.62566841</v>
      </c>
      <c r="EK78" s="16">
        <f t="shared" ca="1" si="97"/>
        <v>0</v>
      </c>
      <c r="EL78" s="32" t="str">
        <f>IF(VLOOKUP(BM78,Fundamentus!A:U,3,FALSE)&lt;15,"Bom",IF(VLOOKUP(BM78,Fundamentus!A:U,3,FALSE)&gt;15,"Ruim","n/a"))</f>
        <v>Bom</v>
      </c>
      <c r="EM78" s="28" t="str">
        <f>IF(VLOOKUP(BM78,Fundamentus!A:U,4,FALSE)&lt;1,"Baixo",IF(VLOOKUP(BM78,Fundamentus!A:U,4,FALSE)&lt;1.5,"Moderado",IF(VLOOKUP(BM78,Fundamentus!A:U,4,FALSE)&gt;1.5,"Alto","n/a")))</f>
        <v>Moderado</v>
      </c>
      <c r="EN78" s="17" t="str">
        <f>IF(VLOOKUP(BM78,Fundamentus!A:U,8,FALSE)&lt;0,"Risco elevado",IF(VLOOKUP(BM78,Fundamentus!A:U,8,FALSE)&lt;1,"Saudável",IF(VLOOKUP(BM78,Fundamentus!A:U,8,FALSE)&lt;3,"Estável",IF(VLOOKUP(BM78,Fundamentus!A:U,8,FALSE)&gt;3,"Alerta","n/a"))))</f>
        <v>Estável</v>
      </c>
      <c r="EO78" s="28" t="str">
        <f t="shared" si="111"/>
        <v>Bom</v>
      </c>
      <c r="EP78" s="17" t="str">
        <f>IF(VLOOKUP(BM78,Fundamentus!A:U,12,FALSE)&lt;2,"Subvalorizada",IF(VLOOKUP(BM78,Fundamentus!A:U,12,FALSE)&lt;6,"Muita barata",IF(VLOOKUP(BM78,Fundamentus!A:U,12,FALSE)&lt;6,"Barata",IF(VLOOKUP(BM78,Fundamentus!A:U,12,FALSE)&lt;8,"Atrativa",IF(VLOOKUP(BM78,Fundamentus!A:U,12,FALSE)&gt;8,"Supervalorizada","n/a")))))</f>
        <v>Atrativa</v>
      </c>
      <c r="ER78" s="17" t="str">
        <f>IF(VLOOKUP(BM78,Fundamentus!A:U,17,FALSE)&lt;0.1,"Fraco retorno",IF(VLOOKUP(BM78,Fundamentus!A:U,17,FALSE)&gt;0.1,"Bom retorno","n/a"))</f>
        <v>Bom retorno</v>
      </c>
      <c r="ES78" s="17" t="str">
        <f>IF(VLOOKUP(BM78,Fundamentus!A:U,16,FALSE)&lt;0.1,"Ineficiente",IF(VLOOKUP(BM78,Fundamentus!A:U,16,FALSE)&gt;0.1,"Eficiente","n/a"))</f>
        <v>Eficiente</v>
      </c>
      <c r="ET78" s="33" t="str">
        <f>IF(VLOOKUP(BM78,Fundamentus!A:U,16,FALSE)&lt;0.1,"Oper. Ineficiente",IF(VLOOKUP(BM78,Fundamentus!A:U,16,FALSE)&gt;0.1,"Oper.Eficiente","n/a"))</f>
        <v>Oper.Eficiente</v>
      </c>
      <c r="EU78" s="34">
        <f>VLOOKUP(BM78,Fundamentus!A:U,14,FALSE)</f>
        <v>0.26719999999999999</v>
      </c>
      <c r="EV78" s="17" t="str">
        <f>IF(VLOOKUP(BM78,Fundamentus!A:U,21,FALSE)&lt;0,"Negativo",IF(VLOOKUP(BM78,Fundamentus!A:U,21,FALSE)&lt;0.05,"Fraco",IF(VLOOKUP(BM78,Fundamentus!A:U,21,FALSE)&lt;0.1,"Bom",IF(VLOOKUP(BM78,Fundamentus!A:U,21,FALSE)&gt;0.1,"Muito bom","n/a"))))</f>
        <v>Bom</v>
      </c>
      <c r="EX78" s="29" t="str">
        <f>IF(VLOOKUP(BM78,Fundamentus!A:U,15,FALSE)&gt;1,"Bom",IF(VLOOKUP(BM78,Fundamentus!A:U,15,FALSE)&lt;1,"Ruim","n/a"))</f>
        <v>Bom</v>
      </c>
      <c r="EY78" s="17" t="str">
        <f>IF(VLOOKUP(BM78,Fundamentus!A:U,20,FALSE)&lt;0.5,"Baixa",IF(VLOOKUP(BM78,Fundamentus!A:U,20,FALSE)&lt;1,"Moderada",IF(VLOOKUP(BM78,Fundamentus!A:U,20,FALSE)&lt;2,"Alerta",IF(VLOOKUP(BM78,Fundamentus!A:U,20,FALSE)&gt;2,"Alta","n/a"))))</f>
        <v>Baixa</v>
      </c>
      <c r="EZ78" s="10"/>
    </row>
    <row r="79" spans="1:156" s="2" customFormat="1" ht="11.25" x14ac:dyDescent="0.2">
      <c r="A79" s="4">
        <v>9.4</v>
      </c>
      <c r="B79" s="4">
        <v>9.44</v>
      </c>
      <c r="C79" s="4">
        <v>9.99</v>
      </c>
      <c r="D79" s="4">
        <v>9.25</v>
      </c>
      <c r="E79" s="4">
        <v>9.14</v>
      </c>
      <c r="F79" s="4">
        <v>9.01</v>
      </c>
      <c r="G79" s="4">
        <v>8.57</v>
      </c>
      <c r="H79" s="4">
        <v>8.18</v>
      </c>
      <c r="I79" s="4">
        <v>8.1</v>
      </c>
      <c r="J79" s="4">
        <v>8.31</v>
      </c>
      <c r="K79" s="4">
        <v>8.5500000000000007</v>
      </c>
      <c r="L79" s="4">
        <v>8.6999999999999993</v>
      </c>
      <c r="M79" s="4">
        <v>8.5399999999999991</v>
      </c>
      <c r="N79" s="4">
        <v>8.75</v>
      </c>
      <c r="O79" s="4">
        <v>9.17</v>
      </c>
      <c r="P79" s="4">
        <v>10.37</v>
      </c>
      <c r="Q79" s="4">
        <v>10.45</v>
      </c>
      <c r="R79" s="4">
        <v>9.9</v>
      </c>
      <c r="S79" s="4">
        <v>10.72</v>
      </c>
      <c r="T79" s="4">
        <v>10.61</v>
      </c>
      <c r="U79" s="4">
        <v>10.19</v>
      </c>
      <c r="V79" s="4">
        <v>10.15</v>
      </c>
      <c r="W79" s="4">
        <v>9.76</v>
      </c>
      <c r="X79" s="4">
        <v>9.41</v>
      </c>
      <c r="Y79" s="4">
        <v>8.98</v>
      </c>
      <c r="Z79" s="4">
        <v>9</v>
      </c>
      <c r="AA79" s="4">
        <v>8.01</v>
      </c>
      <c r="AB79" s="4">
        <v>8.02</v>
      </c>
      <c r="AC79" s="4">
        <v>7.64</v>
      </c>
      <c r="AD79" s="4">
        <v>7.49</v>
      </c>
      <c r="AE79" s="4">
        <v>7.15</v>
      </c>
      <c r="AF79" s="4">
        <v>7.01</v>
      </c>
      <c r="AG79" s="4">
        <v>6.75</v>
      </c>
      <c r="AH79" s="4">
        <v>6.79</v>
      </c>
      <c r="AI79" s="4">
        <v>6.39</v>
      </c>
      <c r="AJ79" s="4">
        <v>6.18</v>
      </c>
      <c r="AK79" s="4">
        <v>6.34</v>
      </c>
      <c r="AL79" s="4">
        <v>6.64</v>
      </c>
      <c r="AM79" s="4">
        <v>6.78</v>
      </c>
      <c r="AN79" s="4">
        <v>6.9</v>
      </c>
      <c r="AO79" s="4">
        <v>6.65</v>
      </c>
      <c r="AP79" s="4">
        <v>7.43</v>
      </c>
      <c r="AQ79" s="4">
        <v>7.17</v>
      </c>
      <c r="AR79" s="4">
        <v>7.08</v>
      </c>
      <c r="AS79" s="4">
        <v>7.09</v>
      </c>
      <c r="AT79" s="4">
        <v>7.21</v>
      </c>
      <c r="AU79" s="4">
        <v>7.4499999999999993</v>
      </c>
      <c r="AV79" s="4">
        <v>7.41</v>
      </c>
      <c r="AW79" s="4">
        <v>7</v>
      </c>
      <c r="AX79" s="4">
        <v>7.25</v>
      </c>
      <c r="AY79" s="12">
        <v>7.28</v>
      </c>
      <c r="AZ79" s="12">
        <v>7.54</v>
      </c>
      <c r="BA79" s="12">
        <v>7.61</v>
      </c>
      <c r="BB79" s="15">
        <v>7.89</v>
      </c>
      <c r="BC79" s="52">
        <v>7.74</v>
      </c>
      <c r="BD79" s="52">
        <v>8.57</v>
      </c>
      <c r="BE79" s="52">
        <v>9.1</v>
      </c>
      <c r="BF79" s="52">
        <v>8.19</v>
      </c>
      <c r="BG79" s="67">
        <v>8.15</v>
      </c>
      <c r="BH79" s="52">
        <v>8.1999999999999993</v>
      </c>
      <c r="BI79" s="52">
        <v>8.07</v>
      </c>
      <c r="BJ79" s="52">
        <v>7.8</v>
      </c>
      <c r="BK79" s="52">
        <v>7.43</v>
      </c>
      <c r="BL79" s="52" cm="1">
        <f t="array" aca="1" ref="BL79" ca="1">_FV(EC79,"Preço")</f>
        <v>7.43</v>
      </c>
      <c r="BM79" s="69" t="s">
        <v>76</v>
      </c>
      <c r="BN79" s="36" cm="1">
        <f t="array" aca="1" ref="BN79" ca="1">_FV(EC79,"Média de volume",TRUE)</f>
        <v>1193840</v>
      </c>
      <c r="BO79" s="36">
        <v>817500</v>
      </c>
      <c r="BP79" s="36" cm="1">
        <f t="array" aca="1" ref="BP79" ca="1">_FV(EC79,"Volume")</f>
        <v>817500</v>
      </c>
      <c r="BQ79" s="24" cm="1">
        <f t="array" aca="1" ref="BQ79" ca="1">_FV(EC79,"Beta")</f>
        <v>1.5395000000000001</v>
      </c>
      <c r="BR79" s="71" cm="1">
        <f t="array" aca="1" ref="BR79" ca="1">_FV(EC79,"Variação (%)",TRUE)</f>
        <v>4.0539999999999994E-3</v>
      </c>
      <c r="BT79" s="17" cm="1">
        <f t="array" aca="1" ref="BT79" ca="1">_FV(EC79,"Baixo")</f>
        <v>7.32</v>
      </c>
      <c r="BU79" s="17" cm="1">
        <f t="array" aca="1" ref="BU79" ca="1">_FV(EC79,"Alto")</f>
        <v>7.52</v>
      </c>
      <c r="BV79" s="24"/>
      <c r="BW79" s="63">
        <f ca="1">SQRT(22.5*(BL79/VLOOKUP(BM79,Fundamentus!A:U,3,FALSE))*(BL79/VLOOKUP(BM79,Fundamentus!A:U,4,FALSE)))</f>
        <v>8.2876771315146502</v>
      </c>
      <c r="BY79" s="62">
        <f t="shared" ca="1" si="112"/>
        <v>0</v>
      </c>
      <c r="BZ79" s="8"/>
      <c r="CA79" s="61">
        <f t="shared" si="113"/>
        <v>6.18</v>
      </c>
      <c r="CB79" s="61">
        <f t="shared" si="114"/>
        <v>10.72</v>
      </c>
      <c r="CC79" s="61">
        <f t="shared" si="115"/>
        <v>8.1911111111111072</v>
      </c>
      <c r="CD79" s="14"/>
      <c r="CE79" s="35">
        <f t="shared" si="98"/>
        <v>7.1897426654666772</v>
      </c>
      <c r="CF79" s="15">
        <f t="shared" si="116"/>
        <v>7.7460000000000946</v>
      </c>
      <c r="CG79" s="35">
        <f t="shared" si="99"/>
        <v>8.3022573345335111</v>
      </c>
      <c r="CI79" s="14"/>
      <c r="CJ79" s="17">
        <f t="shared" si="100"/>
        <v>1.2066666666666634</v>
      </c>
      <c r="CK79" s="17">
        <f t="shared" si="101"/>
        <v>3.6933333333333316</v>
      </c>
      <c r="CL79" s="17">
        <f t="shared" si="102"/>
        <v>5.7466666666666644</v>
      </c>
      <c r="CM79" s="38">
        <f t="shared" si="117"/>
        <v>8.2333333333333325</v>
      </c>
      <c r="CN79" s="17">
        <f t="shared" si="103"/>
        <v>10.286666666666665</v>
      </c>
      <c r="CO79" s="17">
        <f t="shared" si="104"/>
        <v>12.773333333333333</v>
      </c>
      <c r="CP79" s="17">
        <f t="shared" si="105"/>
        <v>14.826666666666666</v>
      </c>
      <c r="CQ79" s="2" cm="1">
        <f t="array" aca="1" ref="CQ79" ca="1">MAX(_xlfn._xlws.FILTER(CJ79:CP79,CJ79:CP79&lt;BL79))</f>
        <v>5.7466666666666644</v>
      </c>
      <c r="CR79" s="2" cm="1">
        <f t="array" aca="1" ref="CR79" ca="1">MIN(_xlfn._xlws.FILTER($CJ79:$CP79,$CJ79:$CP79&gt;BL79))</f>
        <v>8.2333333333333325</v>
      </c>
      <c r="CS79" s="16">
        <f t="shared" ca="1" si="80"/>
        <v>0.43271461716937387</v>
      </c>
      <c r="CT79" s="20">
        <f t="shared" ca="1" si="81"/>
        <v>-0.21635730858468694</v>
      </c>
      <c r="CU79" s="20">
        <f t="shared" ca="1" si="82"/>
        <v>-0.14423820572312462</v>
      </c>
      <c r="CV79" s="20">
        <f t="shared" ca="1" si="83"/>
        <v>-8.6542923433874777E-2</v>
      </c>
      <c r="CW79" s="20">
        <f t="shared" ca="1" si="84"/>
        <v>-4.8079401907708208E-2</v>
      </c>
      <c r="CX79" s="20">
        <f t="shared" ca="1" si="85"/>
        <v>-2.5453801009963167E-2</v>
      </c>
      <c r="CY79" s="20">
        <f t="shared" ca="1" si="86"/>
        <v>-1.3112564156647693E-2</v>
      </c>
      <c r="CZ79" s="20">
        <f t="shared" ca="1" si="87"/>
        <v>-6.6571479564519059E-3</v>
      </c>
      <c r="DA79" s="21">
        <f t="shared" ca="1" si="88"/>
        <v>6.6571479564519059E-3</v>
      </c>
      <c r="DB79" s="21">
        <f t="shared" ca="1" si="89"/>
        <v>1.3112564156647693E-2</v>
      </c>
      <c r="DC79" s="21">
        <f t="shared" ca="1" si="90"/>
        <v>2.5453801009963167E-2</v>
      </c>
      <c r="DD79" s="21">
        <f t="shared" ca="1" si="91"/>
        <v>4.8079401907708208E-2</v>
      </c>
      <c r="DE79" s="21">
        <f t="shared" ca="1" si="92"/>
        <v>8.6542923433874777E-2</v>
      </c>
      <c r="DF79" s="21">
        <f t="shared" ca="1" si="93"/>
        <v>0.14423820572312462</v>
      </c>
      <c r="DG79" s="21">
        <f t="shared" ca="1" si="94"/>
        <v>0.21635730858468694</v>
      </c>
      <c r="DI79" s="16" cm="1">
        <f t="array" aca="1" ref="DI79" ca="1">MAX(_xlfn._xlws.FILTER(CT79:DG79,CT79:DG79&lt;BR79))</f>
        <v>-6.6571479564519059E-3</v>
      </c>
      <c r="DJ79" s="16" cm="1">
        <f t="array" aca="1" ref="DJ79" ca="1">MIN(_xlfn._xlws.FILTER(CT79:DG79,CT79:DG79&gt;BR79))</f>
        <v>6.6571479564519059E-3</v>
      </c>
      <c r="DK79" s="2" cm="1">
        <f t="array" aca="1" ref="DK79" ca="1">_FV(EC79,"Fechamento anterior",TRUE)</f>
        <v>7.4</v>
      </c>
      <c r="DL79" s="28">
        <f t="shared" ca="1" si="106"/>
        <v>0.80448880515904009</v>
      </c>
      <c r="DM79" s="15">
        <f t="shared" ca="1" si="95"/>
        <v>7.3507371051222563</v>
      </c>
      <c r="DN79" s="15">
        <f t="shared" ca="1" si="96"/>
        <v>7.4492628948777444</v>
      </c>
      <c r="DO79" s="9"/>
      <c r="DP79" s="9"/>
      <c r="DQ79" s="9"/>
      <c r="DR79" s="89">
        <v>1.4990471074274474E-2</v>
      </c>
      <c r="DS79" s="89">
        <v>2.0722670339038643E-2</v>
      </c>
      <c r="DT79" s="89">
        <v>1.3314295912903812E-2</v>
      </c>
      <c r="DU79" s="89">
        <v>1.3314295912903812E-2</v>
      </c>
      <c r="DV79" s="89">
        <f t="shared" ca="1" si="107"/>
        <v>1.3314295912903812E-2</v>
      </c>
      <c r="DW79" s="72">
        <f t="shared" ca="1" si="108"/>
        <v>-0.56808239708902397</v>
      </c>
      <c r="DX79" s="37"/>
      <c r="DY79" s="35">
        <f t="shared" si="118"/>
        <v>0.27812866726670871</v>
      </c>
      <c r="DZ79" s="56"/>
      <c r="EA79" s="56"/>
      <c r="EC79" s="2" t="e" vm="79">
        <v>#VALUE!</v>
      </c>
      <c r="EE79" s="10" cm="1">
        <f t="array" aca="1" ref="EE79" ca="1">_FV(EC79,"Ações em circulação",TRUE)</f>
        <v>611509500</v>
      </c>
      <c r="EF79" s="18">
        <f>VLOOKUP(BM79,Fundamentus!A:U,5,FALSE)</f>
        <v>0</v>
      </c>
      <c r="EG79" s="2" t="e">
        <f t="shared" ca="1" si="109"/>
        <v>#DIV/0!</v>
      </c>
      <c r="EH79" s="17" t="e">
        <v>#DIV/0!</v>
      </c>
      <c r="EI79" s="17" t="e">
        <f t="shared" ca="1" si="110"/>
        <v>#DIV/0!</v>
      </c>
      <c r="EK79" s="16" t="e">
        <f t="shared" ca="1" si="97"/>
        <v>#DIV/0!</v>
      </c>
      <c r="EL79" s="32" t="str">
        <f>IF(VLOOKUP(BM79,Fundamentus!A:U,3,FALSE)&lt;15,"Bom",IF(VLOOKUP(BM79,Fundamentus!A:U,3,FALSE)&gt;15,"Ruim","n/a"))</f>
        <v>Bom</v>
      </c>
      <c r="EM79" s="28" t="str">
        <f>IF(VLOOKUP(BM79,Fundamentus!A:U,4,FALSE)&lt;1,"Baixo",IF(VLOOKUP(BM79,Fundamentus!A:U,4,FALSE)&lt;1.5,"Moderado",IF(VLOOKUP(BM79,Fundamentus!A:U,4,FALSE)&gt;1.5,"Alto","n/a")))</f>
        <v>Moderado</v>
      </c>
      <c r="EN79" s="17" t="str">
        <f>IF(VLOOKUP(BM79,Fundamentus!A:U,8,FALSE)&lt;0,"Risco elevado",IF(VLOOKUP(BM79,Fundamentus!A:U,8,FALSE)&lt;1,"Saudável",IF(VLOOKUP(BM79,Fundamentus!A:U,8,FALSE)&lt;3,"Estável",IF(VLOOKUP(BM79,Fundamentus!A:U,8,FALSE)&gt;3,"Alerta","n/a"))))</f>
        <v>Saudável</v>
      </c>
      <c r="EO79" s="28" t="str">
        <f t="shared" si="111"/>
        <v>Ruim</v>
      </c>
      <c r="EP79" s="17" t="str">
        <f>IF(VLOOKUP(BM79,Fundamentus!A:U,12,FALSE)&lt;2,"Subvalorizada",IF(VLOOKUP(BM79,Fundamentus!A:U,12,FALSE)&lt;6,"Muita barata",IF(VLOOKUP(BM79,Fundamentus!A:U,12,FALSE)&lt;6,"Barata",IF(VLOOKUP(BM79,Fundamentus!A:U,12,FALSE)&lt;8,"Atrativa",IF(VLOOKUP(BM79,Fundamentus!A:U,12,FALSE)&gt;8,"Supervalorizada","n/a")))))</f>
        <v>Subvalorizada</v>
      </c>
      <c r="ER79" s="17" t="str">
        <f>IF(VLOOKUP(BM79,Fundamentus!A:U,17,FALSE)&lt;0.1,"Fraco retorno",IF(VLOOKUP(BM79,Fundamentus!A:U,17,FALSE)&gt;0.1,"Bom retorno","n/a"))</f>
        <v>Bom retorno</v>
      </c>
      <c r="ES79" s="17" t="str">
        <f>IF(VLOOKUP(BM79,Fundamentus!A:U,16,FALSE)&lt;0.1,"Ineficiente",IF(VLOOKUP(BM79,Fundamentus!A:U,16,FALSE)&gt;0.1,"Eficiente","n/a"))</f>
        <v>Ineficiente</v>
      </c>
      <c r="ET79" s="33" t="str">
        <f>IF(VLOOKUP(BM79,Fundamentus!A:U,16,FALSE)&lt;0.1,"Oper. Ineficiente",IF(VLOOKUP(BM79,Fundamentus!A:U,16,FALSE)&gt;0.1,"Oper.Eficiente","n/a"))</f>
        <v>Oper. Ineficiente</v>
      </c>
      <c r="EU79" s="34">
        <f>VLOOKUP(BM79,Fundamentus!A:U,14,FALSE)</f>
        <v>0</v>
      </c>
      <c r="EV79" s="17" t="str">
        <f>IF(VLOOKUP(BM79,Fundamentus!A:U,21,FALSE)&lt;0,"Negativo",IF(VLOOKUP(BM79,Fundamentus!A:U,21,FALSE)&lt;0.05,"Fraco",IF(VLOOKUP(BM79,Fundamentus!A:U,21,FALSE)&lt;0.1,"Bom",IF(VLOOKUP(BM79,Fundamentus!A:U,21,FALSE)&gt;0.1,"Muito bom","n/a"))))</f>
        <v>Fraco</v>
      </c>
      <c r="EX79" s="29" t="str">
        <f>IF(VLOOKUP(BM79,Fundamentus!A:U,15,FALSE)&gt;1,"Bom",IF(VLOOKUP(BM79,Fundamentus!A:U,15,FALSE)&lt;1,"Ruim","n/a"))</f>
        <v>Ruim</v>
      </c>
      <c r="EY79" s="17" t="str">
        <f>IF(VLOOKUP(BM79,Fundamentus!A:U,20,FALSE)&lt;0.5,"Baixa",IF(VLOOKUP(BM79,Fundamentus!A:U,20,FALSE)&lt;1,"Moderada",IF(VLOOKUP(BM79,Fundamentus!A:U,20,FALSE)&lt;2,"Alerta",IF(VLOOKUP(BM79,Fundamentus!A:U,20,FALSE)&gt;2,"Alta","n/a"))))</f>
        <v>Baixa</v>
      </c>
      <c r="EZ79" s="10"/>
    </row>
    <row r="80" spans="1:156" s="2" customFormat="1" ht="11.25" x14ac:dyDescent="0.2">
      <c r="A80" s="4">
        <v>38.770000000000003</v>
      </c>
      <c r="B80" s="4">
        <v>38.9</v>
      </c>
      <c r="C80" s="4">
        <v>39.64</v>
      </c>
      <c r="D80" s="4">
        <v>38.340000000000003</v>
      </c>
      <c r="E80" s="4">
        <v>37.75</v>
      </c>
      <c r="F80" s="4">
        <v>37.85</v>
      </c>
      <c r="G80" s="4">
        <v>38.770000000000003</v>
      </c>
      <c r="H80" s="4">
        <v>41.08</v>
      </c>
      <c r="I80" s="4">
        <v>42</v>
      </c>
      <c r="J80" s="4">
        <v>42.19</v>
      </c>
      <c r="K80" s="4">
        <v>45.88</v>
      </c>
      <c r="L80" s="4">
        <v>47.29</v>
      </c>
      <c r="M80" s="4">
        <v>46.92</v>
      </c>
      <c r="N80" s="4">
        <v>49.82</v>
      </c>
      <c r="O80" s="4">
        <v>49.7</v>
      </c>
      <c r="P80" s="4">
        <v>53.36</v>
      </c>
      <c r="Q80" s="4">
        <v>53.81</v>
      </c>
      <c r="R80" s="4">
        <v>54.15</v>
      </c>
      <c r="S80" s="4">
        <v>52.88</v>
      </c>
      <c r="T80" s="4">
        <v>53.62</v>
      </c>
      <c r="U80" s="4">
        <v>52.52</v>
      </c>
      <c r="V80" s="4">
        <v>56.03</v>
      </c>
      <c r="W80" s="4">
        <v>54.5</v>
      </c>
      <c r="X80" s="4">
        <v>54.17</v>
      </c>
      <c r="Y80" s="4">
        <v>54.87</v>
      </c>
      <c r="Z80" s="4">
        <v>55.47</v>
      </c>
      <c r="AA80" s="4">
        <v>54.7</v>
      </c>
      <c r="AB80" s="4">
        <v>55.09</v>
      </c>
      <c r="AC80" s="4">
        <v>54.35</v>
      </c>
      <c r="AD80" s="4">
        <v>54.01</v>
      </c>
      <c r="AE80" s="4">
        <v>53.94</v>
      </c>
      <c r="AF80" s="4">
        <v>55.6</v>
      </c>
      <c r="AG80" s="4">
        <v>57.66</v>
      </c>
      <c r="AH80" s="4">
        <v>54.24</v>
      </c>
      <c r="AI80" s="4">
        <v>53.68</v>
      </c>
      <c r="AJ80" s="4">
        <v>52.46</v>
      </c>
      <c r="AK80" s="4">
        <v>53.35</v>
      </c>
      <c r="AL80" s="4">
        <v>54.17</v>
      </c>
      <c r="AM80" s="4">
        <v>57.87</v>
      </c>
      <c r="AN80" s="4">
        <v>55.04</v>
      </c>
      <c r="AO80" s="4">
        <v>53.94</v>
      </c>
      <c r="AP80" s="4">
        <v>53.8</v>
      </c>
      <c r="AQ80" s="4">
        <v>52.95</v>
      </c>
      <c r="AR80" s="4">
        <v>48.42</v>
      </c>
      <c r="AS80" s="4">
        <v>47.89</v>
      </c>
      <c r="AT80" s="4">
        <v>46.74</v>
      </c>
      <c r="AU80" s="4">
        <v>47.674999999999997</v>
      </c>
      <c r="AV80" s="4">
        <v>45.85</v>
      </c>
      <c r="AW80" s="4">
        <v>43.72</v>
      </c>
      <c r="AX80" s="4">
        <v>45.12</v>
      </c>
      <c r="AY80" s="12">
        <v>45.95</v>
      </c>
      <c r="AZ80" s="12">
        <v>49.89</v>
      </c>
      <c r="BA80" s="12">
        <v>44.64</v>
      </c>
      <c r="BB80" s="15">
        <v>42.21</v>
      </c>
      <c r="BC80" s="52">
        <v>44.17</v>
      </c>
      <c r="BD80" s="52">
        <v>43.69</v>
      </c>
      <c r="BE80" s="52">
        <v>42.35</v>
      </c>
      <c r="BF80" s="52">
        <v>42.57</v>
      </c>
      <c r="BG80" s="67">
        <v>42.39</v>
      </c>
      <c r="BH80" s="52">
        <v>41.64</v>
      </c>
      <c r="BI80" s="52">
        <v>42.35</v>
      </c>
      <c r="BJ80" s="52">
        <v>43</v>
      </c>
      <c r="BK80" s="52">
        <v>39.450000000000003</v>
      </c>
      <c r="BL80" s="52" cm="1">
        <f t="array" aca="1" ref="BL80" ca="1">_FV(EC80,"Preço")</f>
        <v>39.450000000000003</v>
      </c>
      <c r="BM80" s="69" t="s">
        <v>77</v>
      </c>
      <c r="BN80" s="36" cm="1">
        <f t="array" aca="1" ref="BN80" ca="1">_FV(EC80,"Média de volume",TRUE)</f>
        <v>8112590</v>
      </c>
      <c r="BO80" s="36">
        <v>11076600</v>
      </c>
      <c r="BP80" s="36" cm="1">
        <f t="array" aca="1" ref="BP80" ca="1">_FV(EC80,"Volume")</f>
        <v>11076600</v>
      </c>
      <c r="BQ80" s="24" cm="1">
        <f t="array" aca="1" ref="BQ80" ca="1">_FV(EC80,"Beta")</f>
        <v>0.33110000000000001</v>
      </c>
      <c r="BR80" s="71" cm="1">
        <f t="array" aca="1" ref="BR80" ca="1">_FV(EC80,"Variação (%)",TRUE)</f>
        <v>-1.1278E-2</v>
      </c>
      <c r="BT80" s="17" cm="1">
        <f t="array" aca="1" ref="BT80" ca="1">_FV(EC80,"Baixo")</f>
        <v>39.369999999999997</v>
      </c>
      <c r="BU80" s="17" cm="1">
        <f t="array" aca="1" ref="BU80" ca="1">_FV(EC80,"Alto")</f>
        <v>40.08</v>
      </c>
      <c r="BV80" s="24"/>
      <c r="BW80" s="63">
        <f ca="1">SQRT(22.5*(BL80/VLOOKUP(BM80,Fundamentus!A:U,3,FALSE))*(BL80/VLOOKUP(BM80,Fundamentus!A:U,4,FALSE)))</f>
        <v>12.140123117013131</v>
      </c>
      <c r="BY80" s="62">
        <f t="shared" ca="1" si="112"/>
        <v>0</v>
      </c>
      <c r="BZ80" s="8"/>
      <c r="CA80" s="61">
        <f t="shared" si="113"/>
        <v>37.75</v>
      </c>
      <c r="CB80" s="61">
        <f t="shared" si="114"/>
        <v>57.87</v>
      </c>
      <c r="CC80" s="61">
        <f t="shared" si="115"/>
        <v>48.36261904761902</v>
      </c>
      <c r="CD80" s="14"/>
      <c r="CE80" s="35">
        <f t="shared" si="98"/>
        <v>38.979962011163053</v>
      </c>
      <c r="CF80" s="15">
        <f t="shared" si="116"/>
        <v>41.313999999999851</v>
      </c>
      <c r="CG80" s="35">
        <f t="shared" si="99"/>
        <v>43.648037988836649</v>
      </c>
      <c r="CI80" s="14"/>
      <c r="CJ80" s="17">
        <f t="shared" si="100"/>
        <v>14.423333333333346</v>
      </c>
      <c r="CK80" s="17">
        <f t="shared" si="101"/>
        <v>26.086666666666673</v>
      </c>
      <c r="CL80" s="17">
        <f t="shared" si="102"/>
        <v>34.543333333333344</v>
      </c>
      <c r="CM80" s="38">
        <f t="shared" si="117"/>
        <v>46.206666666666671</v>
      </c>
      <c r="CN80" s="17">
        <f t="shared" si="103"/>
        <v>54.663333333333341</v>
      </c>
      <c r="CO80" s="17">
        <f t="shared" si="104"/>
        <v>66.326666666666668</v>
      </c>
      <c r="CP80" s="17">
        <f t="shared" si="105"/>
        <v>74.783333333333331</v>
      </c>
      <c r="CQ80" s="2" cm="1">
        <f t="array" aca="1" ref="CQ80" ca="1">MAX(_xlfn._xlws.FILTER(CJ80:CP80,CJ80:CP80&lt;BL80))</f>
        <v>34.543333333333344</v>
      </c>
      <c r="CR80" s="2" cm="1">
        <f t="array" aca="1" ref="CR80" ca="1">MIN(_xlfn._xlws.FILTER($CJ80:$CP80,$CJ80:$CP80&gt;BL80))</f>
        <v>46.206666666666671</v>
      </c>
      <c r="CS80" s="16">
        <f t="shared" ca="1" si="80"/>
        <v>0.3376435395155839</v>
      </c>
      <c r="CT80" s="20">
        <f t="shared" ca="1" si="81"/>
        <v>-0.16882176975779195</v>
      </c>
      <c r="CU80" s="20">
        <f t="shared" ca="1" si="82"/>
        <v>-0.11254784650519463</v>
      </c>
      <c r="CV80" s="20">
        <f t="shared" ca="1" si="83"/>
        <v>-6.7528707903116783E-2</v>
      </c>
      <c r="CW80" s="20">
        <f t="shared" ca="1" si="84"/>
        <v>-3.7515948835064879E-2</v>
      </c>
      <c r="CX80" s="20">
        <f t="shared" ca="1" si="85"/>
        <v>-1.9861384677387288E-2</v>
      </c>
      <c r="CY80" s="20">
        <f t="shared" ca="1" si="86"/>
        <v>-1.0231622409563148E-2</v>
      </c>
      <c r="CZ80" s="20">
        <f t="shared" ca="1" si="87"/>
        <v>-5.1945159925474447E-3</v>
      </c>
      <c r="DA80" s="21">
        <f t="shared" ca="1" si="88"/>
        <v>5.1945159925474447E-3</v>
      </c>
      <c r="DB80" s="21">
        <f t="shared" ca="1" si="89"/>
        <v>1.0231622409563148E-2</v>
      </c>
      <c r="DC80" s="21">
        <f t="shared" ca="1" si="90"/>
        <v>1.9861384677387288E-2</v>
      </c>
      <c r="DD80" s="21">
        <f t="shared" ca="1" si="91"/>
        <v>3.7515948835064879E-2</v>
      </c>
      <c r="DE80" s="21">
        <f t="shared" ca="1" si="92"/>
        <v>6.7528707903116783E-2</v>
      </c>
      <c r="DF80" s="21">
        <f t="shared" ca="1" si="93"/>
        <v>0.11254784650519463</v>
      </c>
      <c r="DG80" s="21">
        <f t="shared" ca="1" si="94"/>
        <v>0.16882176975779195</v>
      </c>
      <c r="DI80" s="16" cm="1">
        <f t="array" aca="1" ref="DI80" ca="1">MAX(_xlfn._xlws.FILTER(CT80:DG80,CT80:DG80&lt;BR80))</f>
        <v>-1.9861384677387288E-2</v>
      </c>
      <c r="DJ80" s="16" cm="1">
        <f t="array" aca="1" ref="DJ80" ca="1">MIN(_xlfn._xlws.FILTER(CT80:DG80,CT80:DG80&gt;BR80))</f>
        <v>-1.0231622409563148E-2</v>
      </c>
      <c r="DK80" s="2" cm="1">
        <f t="array" aca="1" ref="DK80" ca="1">_FV(EC80,"Fechamento anterior",TRUE)</f>
        <v>39.9</v>
      </c>
      <c r="DL80" s="28">
        <f t="shared" ca="1" si="106"/>
        <v>0.89131890798016222</v>
      </c>
      <c r="DM80" s="15">
        <f t="shared" ca="1" si="95"/>
        <v>39.107530751372245</v>
      </c>
      <c r="DN80" s="15">
        <f t="shared" ca="1" si="96"/>
        <v>39.491758265858429</v>
      </c>
      <c r="DO80" s="9"/>
      <c r="DP80" s="9"/>
      <c r="DQ80" s="9"/>
      <c r="DR80" s="89">
        <v>1.2680143225483128E-2</v>
      </c>
      <c r="DS80" s="89">
        <v>1.069607084644679E-2</v>
      </c>
      <c r="DT80" s="89">
        <v>5.0371064170157036E-3</v>
      </c>
      <c r="DU80" s="89">
        <v>9.6297622678241396E-3</v>
      </c>
      <c r="DV80" s="89">
        <f t="shared" ca="1" si="107"/>
        <v>9.6297622678241396E-3</v>
      </c>
      <c r="DW80" s="72">
        <f t="shared" ca="1" si="108"/>
        <v>-0.79861596465651352</v>
      </c>
      <c r="DX80" s="37"/>
      <c r="DY80" s="35">
        <f t="shared" si="118"/>
        <v>1.1670189944183991</v>
      </c>
      <c r="DZ80" s="56"/>
      <c r="EA80" s="56"/>
      <c r="EC80" s="2" t="e" vm="80">
        <v>#VALUE!</v>
      </c>
      <c r="EE80" s="10" cm="1">
        <f t="array" aca="1" ref="EE80" ca="1">_FV(EC80,"Ações em circulação",TRUE)</f>
        <v>4197318000</v>
      </c>
      <c r="EF80" s="18">
        <f>VLOOKUP(BM80,Fundamentus!A:U,5,FALSE)</f>
        <v>4.4450000000000003</v>
      </c>
      <c r="EG80" s="2">
        <f t="shared" ca="1" si="109"/>
        <v>37251787424.071991</v>
      </c>
      <c r="EH80" s="17">
        <v>6120468673.7750282</v>
      </c>
      <c r="EI80" s="17">
        <f t="shared" ca="1" si="110"/>
        <v>6120468673.7750282</v>
      </c>
      <c r="EK80" s="16">
        <f t="shared" ca="1" si="97"/>
        <v>0</v>
      </c>
      <c r="EL80" s="32" t="str">
        <f>IF(VLOOKUP(BM80,Fundamentus!A:U,3,FALSE)&lt;15,"Bom",IF(VLOOKUP(BM80,Fundamentus!A:U,3,FALSE)&gt;15,"Ruim","n/a"))</f>
        <v>Ruim</v>
      </c>
      <c r="EM80" s="28" t="str">
        <f>IF(VLOOKUP(BM80,Fundamentus!A:U,4,FALSE)&lt;1,"Baixo",IF(VLOOKUP(BM80,Fundamentus!A:U,4,FALSE)&lt;1.5,"Moderado",IF(VLOOKUP(BM80,Fundamentus!A:U,4,FALSE)&gt;1.5,"Alto","n/a")))</f>
        <v>Alto</v>
      </c>
      <c r="EN80" s="17" t="str">
        <f>IF(VLOOKUP(BM80,Fundamentus!A:U,8,FALSE)&lt;0,"Risco elevado",IF(VLOOKUP(BM80,Fundamentus!A:U,8,FALSE)&lt;1,"Saudável",IF(VLOOKUP(BM80,Fundamentus!A:U,8,FALSE)&lt;3,"Estável",IF(VLOOKUP(BM80,Fundamentus!A:U,8,FALSE)&gt;3,"Alerta","n/a"))))</f>
        <v>Alerta</v>
      </c>
      <c r="EO80" s="28" t="str">
        <f t="shared" si="111"/>
        <v>Bom</v>
      </c>
      <c r="EP80" s="17" t="str">
        <f>IF(VLOOKUP(BM80,Fundamentus!A:U,12,FALSE)&lt;2,"Subvalorizada",IF(VLOOKUP(BM80,Fundamentus!A:U,12,FALSE)&lt;6,"Muita barata",IF(VLOOKUP(BM80,Fundamentus!A:U,12,FALSE)&lt;6,"Barata",IF(VLOOKUP(BM80,Fundamentus!A:U,12,FALSE)&lt;8,"Atrativa",IF(VLOOKUP(BM80,Fundamentus!A:U,12,FALSE)&gt;8,"Supervalorizada","n/a")))))</f>
        <v>Supervalorizada</v>
      </c>
      <c r="ER80" s="17" t="str">
        <f>IF(VLOOKUP(BM80,Fundamentus!A:U,17,FALSE)&lt;0.1,"Fraco retorno",IF(VLOOKUP(BM80,Fundamentus!A:U,17,FALSE)&gt;0.1,"Bom retorno","n/a"))</f>
        <v>Bom retorno</v>
      </c>
      <c r="ES80" s="17" t="str">
        <f>IF(VLOOKUP(BM80,Fundamentus!A:U,16,FALSE)&lt;0.1,"Ineficiente",IF(VLOOKUP(BM80,Fundamentus!A:U,16,FALSE)&gt;0.1,"Eficiente","n/a"))</f>
        <v>Eficiente</v>
      </c>
      <c r="ET80" s="33" t="str">
        <f>IF(VLOOKUP(BM80,Fundamentus!A:U,16,FALSE)&lt;0.1,"Oper. Ineficiente",IF(VLOOKUP(BM80,Fundamentus!A:U,16,FALSE)&gt;0.1,"Oper.Eficiente","n/a"))</f>
        <v>Oper.Eficiente</v>
      </c>
      <c r="EU80" s="34">
        <f>VLOOKUP(BM80,Fundamentus!A:U,14,FALSE)</f>
        <v>0.1643</v>
      </c>
      <c r="EV80" s="17" t="str">
        <f>IF(VLOOKUP(BM80,Fundamentus!A:U,21,FALSE)&lt;0,"Negativo",IF(VLOOKUP(BM80,Fundamentus!A:U,21,FALSE)&lt;0.05,"Fraco",IF(VLOOKUP(BM80,Fundamentus!A:U,21,FALSE)&lt;0.1,"Bom",IF(VLOOKUP(BM80,Fundamentus!A:U,21,FALSE)&gt;0.1,"Muito bom","n/a"))))</f>
        <v>Muito bom</v>
      </c>
      <c r="EX80" s="29" t="str">
        <f>IF(VLOOKUP(BM80,Fundamentus!A:U,15,FALSE)&gt;1,"Bom",IF(VLOOKUP(BM80,Fundamentus!A:U,15,FALSE)&lt;1,"Ruim","n/a"))</f>
        <v>Bom</v>
      </c>
      <c r="EY80" s="17" t="str">
        <f>IF(VLOOKUP(BM80,Fundamentus!A:U,20,FALSE)&lt;0.5,"Baixa",IF(VLOOKUP(BM80,Fundamentus!A:U,20,FALSE)&lt;1,"Moderada",IF(VLOOKUP(BM80,Fundamentus!A:U,20,FALSE)&lt;2,"Alerta",IF(VLOOKUP(BM80,Fundamentus!A:U,20,FALSE)&gt;2,"Alta","n/a"))))</f>
        <v>Baixa</v>
      </c>
      <c r="EZ80" s="10"/>
    </row>
    <row r="81" spans="1:156" s="2" customFormat="1" ht="11.25" x14ac:dyDescent="0.2">
      <c r="A81" s="4">
        <v>42.64</v>
      </c>
      <c r="B81" s="4">
        <v>43.77</v>
      </c>
      <c r="C81" s="4">
        <v>43.58</v>
      </c>
      <c r="D81" s="4">
        <v>43.61</v>
      </c>
      <c r="E81" s="4">
        <v>43.37</v>
      </c>
      <c r="F81" s="4">
        <v>43.48</v>
      </c>
      <c r="G81" s="4">
        <v>44.16</v>
      </c>
      <c r="H81" s="4">
        <v>44.12</v>
      </c>
      <c r="I81" s="4">
        <v>44.18</v>
      </c>
      <c r="J81" s="4">
        <v>45.25</v>
      </c>
      <c r="K81" s="4">
        <v>46.61</v>
      </c>
      <c r="L81" s="4">
        <v>45.6</v>
      </c>
      <c r="M81" s="4">
        <v>44.55</v>
      </c>
      <c r="N81" s="4">
        <v>44.11</v>
      </c>
      <c r="O81" s="4">
        <v>45.68</v>
      </c>
      <c r="P81" s="4">
        <v>46.19</v>
      </c>
      <c r="Q81" s="4">
        <v>45.8</v>
      </c>
      <c r="R81" s="4">
        <v>45.16</v>
      </c>
      <c r="S81" s="4">
        <v>44.98</v>
      </c>
      <c r="T81" s="4">
        <v>44.12</v>
      </c>
      <c r="U81" s="4">
        <v>43.71</v>
      </c>
      <c r="V81" s="4">
        <v>42.92</v>
      </c>
      <c r="W81" s="4">
        <v>41.94</v>
      </c>
      <c r="X81" s="4">
        <v>40.590000000000003</v>
      </c>
      <c r="Y81" s="4">
        <v>40.82</v>
      </c>
      <c r="Z81" s="4">
        <v>40.799999999999997</v>
      </c>
      <c r="AA81" s="4">
        <v>41.11</v>
      </c>
      <c r="AB81" s="4">
        <v>40.270000000000003</v>
      </c>
      <c r="AC81" s="4">
        <v>39.42</v>
      </c>
      <c r="AD81" s="4">
        <v>38.590000000000003</v>
      </c>
      <c r="AE81" s="4">
        <v>37.799999999999997</v>
      </c>
      <c r="AF81" s="4">
        <v>38</v>
      </c>
      <c r="AG81" s="4">
        <v>37.07</v>
      </c>
      <c r="AH81" s="4">
        <v>35.619999999999997</v>
      </c>
      <c r="AI81" s="4">
        <v>34.950000000000003</v>
      </c>
      <c r="AJ81" s="4">
        <v>35.31</v>
      </c>
      <c r="AK81" s="4">
        <v>34.96</v>
      </c>
      <c r="AL81" s="4">
        <v>35.200000000000003</v>
      </c>
      <c r="AM81" s="4">
        <v>35.17</v>
      </c>
      <c r="AN81" s="4">
        <v>36.799999999999997</v>
      </c>
      <c r="AO81" s="4">
        <v>35.950000000000003</v>
      </c>
      <c r="AP81" s="4">
        <v>36.58</v>
      </c>
      <c r="AQ81" s="4">
        <v>36.58</v>
      </c>
      <c r="AR81" s="4">
        <v>37.17</v>
      </c>
      <c r="AS81" s="4">
        <v>37.770000000000003</v>
      </c>
      <c r="AT81" s="4">
        <v>37.770000000000003</v>
      </c>
      <c r="AU81" s="4">
        <v>39.305</v>
      </c>
      <c r="AV81" s="4">
        <v>39.07</v>
      </c>
      <c r="AW81" s="4">
        <v>39.64</v>
      </c>
      <c r="AX81" s="4">
        <v>39.65</v>
      </c>
      <c r="AY81" s="12">
        <v>39.29</v>
      </c>
      <c r="AZ81" s="12">
        <v>40.26</v>
      </c>
      <c r="BA81" s="12">
        <v>41.57</v>
      </c>
      <c r="BB81" s="15">
        <v>39.82</v>
      </c>
      <c r="BC81" s="52">
        <v>40.74</v>
      </c>
      <c r="BD81" s="52">
        <v>40.450000000000003</v>
      </c>
      <c r="BE81" s="52">
        <v>41.06</v>
      </c>
      <c r="BF81" s="52">
        <v>40.6</v>
      </c>
      <c r="BG81" s="67">
        <v>40.46</v>
      </c>
      <c r="BH81" s="52">
        <v>40.049999999999997</v>
      </c>
      <c r="BI81" s="52">
        <v>45.03</v>
      </c>
      <c r="BJ81" s="52">
        <v>46.3</v>
      </c>
      <c r="BK81" s="52">
        <v>41.6</v>
      </c>
      <c r="BL81" s="52" cm="1">
        <f t="array" aca="1" ref="BL81" ca="1">_FV(EC81,"Preço")</f>
        <v>41.6</v>
      </c>
      <c r="BM81" s="69" t="s">
        <v>78</v>
      </c>
      <c r="BN81" s="36" cm="1">
        <f t="array" aca="1" ref="BN81" ca="1">_FV(EC81,"Média de volume",TRUE)</f>
        <v>1422960</v>
      </c>
      <c r="BO81" s="36">
        <v>1287000</v>
      </c>
      <c r="BP81" s="36" cm="1">
        <f t="array" aca="1" ref="BP81" ca="1">_FV(EC81,"Volume")</f>
        <v>1287000</v>
      </c>
      <c r="BQ81" s="24" cm="1">
        <f t="array" aca="1" ref="BQ81" ca="1">_FV(EC81,"Beta")</f>
        <v>0.5756</v>
      </c>
      <c r="BR81" s="71" cm="1">
        <f t="array" aca="1" ref="BR81" ca="1">_FV(EC81,"Variação (%)",TRUE)</f>
        <v>-1.6316000000000001E-2</v>
      </c>
      <c r="BT81" s="17" cm="1">
        <f t="array" aca="1" ref="BT81" ca="1">_FV(EC81,"Baixo")</f>
        <v>41.45</v>
      </c>
      <c r="BU81" s="17" cm="1">
        <f t="array" aca="1" ref="BU81" ca="1">_FV(EC81,"Alto")</f>
        <v>42.17</v>
      </c>
      <c r="BV81" s="24"/>
      <c r="BW81" s="63">
        <f ca="1">SQRT(22.5*(BL81/VLOOKUP(BM81,Fundamentus!A:U,3,FALSE))*(BL81/VLOOKUP(BM81,Fundamentus!A:U,4,FALSE)))</f>
        <v>38.130171837650039</v>
      </c>
      <c r="BY81" s="62">
        <f t="shared" ca="1" si="112"/>
        <v>0</v>
      </c>
      <c r="BZ81" s="8"/>
      <c r="CA81" s="61">
        <f t="shared" si="113"/>
        <v>34.950000000000003</v>
      </c>
      <c r="CB81" s="61">
        <f t="shared" si="114"/>
        <v>46.61</v>
      </c>
      <c r="CC81" s="61">
        <f t="shared" si="115"/>
        <v>40.932142857142857</v>
      </c>
      <c r="CD81" s="14"/>
      <c r="CE81" s="35">
        <f t="shared" si="98"/>
        <v>38.691848871537466</v>
      </c>
      <c r="CF81" s="15">
        <f t="shared" si="116"/>
        <v>43.540999999999713</v>
      </c>
      <c r="CG81" s="35">
        <f t="shared" si="99"/>
        <v>48.390151128461959</v>
      </c>
      <c r="CI81" s="14"/>
      <c r="CJ81" s="17">
        <f t="shared" si="100"/>
        <v>26.97</v>
      </c>
      <c r="CK81" s="17">
        <f t="shared" si="101"/>
        <v>30.96</v>
      </c>
      <c r="CL81" s="17">
        <f t="shared" si="102"/>
        <v>38.629999999999995</v>
      </c>
      <c r="CM81" s="38">
        <f t="shared" si="117"/>
        <v>42.62</v>
      </c>
      <c r="CN81" s="17">
        <f t="shared" si="103"/>
        <v>50.289999999999992</v>
      </c>
      <c r="CO81" s="17">
        <f t="shared" si="104"/>
        <v>54.279999999999994</v>
      </c>
      <c r="CP81" s="17">
        <f t="shared" si="105"/>
        <v>61.949999999999989</v>
      </c>
      <c r="CQ81" s="2" cm="1">
        <f t="array" aca="1" ref="CQ81" ca="1">MAX(_xlfn._xlws.FILTER(CJ81:CP81,CJ81:CP81&lt;BL81))</f>
        <v>38.629999999999995</v>
      </c>
      <c r="CR81" s="2" cm="1">
        <f t="array" aca="1" ref="CR81" ca="1">MIN(_xlfn._xlws.FILTER($CJ81:$CP81,$CJ81:$CP81&gt;BL81))</f>
        <v>42.62</v>
      </c>
      <c r="CS81" s="16">
        <f t="shared" ca="1" si="80"/>
        <v>0.10328760031063955</v>
      </c>
      <c r="CT81" s="20">
        <f t="shared" ca="1" si="81"/>
        <v>-5.1643800155319775E-2</v>
      </c>
      <c r="CU81" s="20">
        <f t="shared" ca="1" si="82"/>
        <v>-3.4429200103546519E-2</v>
      </c>
      <c r="CV81" s="20">
        <f t="shared" ca="1" si="83"/>
        <v>-2.0657520062127909E-2</v>
      </c>
      <c r="CW81" s="20">
        <f t="shared" ca="1" si="84"/>
        <v>-1.1476400034515506E-2</v>
      </c>
      <c r="CX81" s="20">
        <f t="shared" ca="1" si="85"/>
        <v>-6.0757411947435025E-3</v>
      </c>
      <c r="CY81" s="20">
        <f t="shared" ca="1" si="86"/>
        <v>-3.1299272821405924E-3</v>
      </c>
      <c r="CZ81" s="20">
        <f t="shared" ca="1" si="87"/>
        <v>-1.58904000477907E-3</v>
      </c>
      <c r="DA81" s="21">
        <f t="shared" ca="1" si="88"/>
        <v>1.58904000477907E-3</v>
      </c>
      <c r="DB81" s="21">
        <f t="shared" ca="1" si="89"/>
        <v>3.1299272821405924E-3</v>
      </c>
      <c r="DC81" s="21">
        <f t="shared" ca="1" si="90"/>
        <v>6.0757411947435025E-3</v>
      </c>
      <c r="DD81" s="21">
        <f t="shared" ca="1" si="91"/>
        <v>1.1476400034515506E-2</v>
      </c>
      <c r="DE81" s="21">
        <f t="shared" ca="1" si="92"/>
        <v>2.0657520062127909E-2</v>
      </c>
      <c r="DF81" s="21">
        <f t="shared" ca="1" si="93"/>
        <v>3.4429200103546519E-2</v>
      </c>
      <c r="DG81" s="21">
        <f t="shared" ca="1" si="94"/>
        <v>5.1643800155319775E-2</v>
      </c>
      <c r="DI81" s="16" cm="1">
        <f t="array" aca="1" ref="DI81" ca="1">MAX(_xlfn._xlws.FILTER(CT81:DG81,CT81:DG81&lt;BR81))</f>
        <v>-2.0657520062127909E-2</v>
      </c>
      <c r="DJ81" s="16" cm="1">
        <f t="array" aca="1" ref="DJ81" ca="1">MIN(_xlfn._xlws.FILTER(CT81:DG81,CT81:DG81&gt;BR81))</f>
        <v>-1.1476400034515506E-2</v>
      </c>
      <c r="DK81" s="2" cm="1">
        <f t="array" aca="1" ref="DK81" ca="1">_FV(EC81,"Fechamento anterior",TRUE)</f>
        <v>42.29</v>
      </c>
      <c r="DL81" s="28">
        <f t="shared" ca="1" si="106"/>
        <v>0.47288414936609263</v>
      </c>
      <c r="DM81" s="15">
        <f t="shared" ca="1" si="95"/>
        <v>41.416393476572608</v>
      </c>
      <c r="DN81" s="15">
        <f t="shared" ca="1" si="96"/>
        <v>41.804663042540341</v>
      </c>
      <c r="DO81" s="9"/>
      <c r="DP81" s="9"/>
      <c r="DQ81" s="9"/>
      <c r="DR81" s="89">
        <v>4.1058800872204012E-3</v>
      </c>
      <c r="DS81" s="89">
        <v>2.5496302629015376E-3</v>
      </c>
      <c r="DT81" s="89">
        <v>2.3994994525261978E-2</v>
      </c>
      <c r="DU81" s="89">
        <v>9.1811200276124029E-3</v>
      </c>
      <c r="DV81" s="89">
        <f t="shared" ca="1" si="107"/>
        <v>9.1811200276124029E-3</v>
      </c>
      <c r="DW81" s="72">
        <f t="shared" ca="1" si="108"/>
        <v>-0.4002762439402951</v>
      </c>
      <c r="DX81" s="37"/>
      <c r="DY81" s="35">
        <f t="shared" si="118"/>
        <v>2.4245755642311222</v>
      </c>
      <c r="DZ81" s="56"/>
      <c r="EA81" s="56"/>
      <c r="EC81" s="2" t="e" vm="81">
        <v>#VALUE!</v>
      </c>
      <c r="EE81" s="10" cm="1">
        <f t="array" aca="1" ref="EE81" ca="1">_FV(EC81,"Ações em circulação",TRUE)</f>
        <v>815927700</v>
      </c>
      <c r="EF81" s="18">
        <f>VLOOKUP(BM81,Fundamentus!A:U,5,FALSE)</f>
        <v>2.84</v>
      </c>
      <c r="EG81" s="2">
        <f t="shared" ca="1" si="109"/>
        <v>11951617014.084507</v>
      </c>
      <c r="EH81" s="17">
        <v>3542459282.974648</v>
      </c>
      <c r="EI81" s="17">
        <f t="shared" ca="1" si="110"/>
        <v>3542459282.974648</v>
      </c>
      <c r="EK81" s="16">
        <f t="shared" ca="1" si="97"/>
        <v>0</v>
      </c>
      <c r="EL81" s="32" t="str">
        <f>IF(VLOOKUP(BM81,Fundamentus!A:U,3,FALSE)&lt;15,"Bom",IF(VLOOKUP(BM81,Fundamentus!A:U,3,FALSE)&gt;15,"Ruim","n/a"))</f>
        <v>Bom</v>
      </c>
      <c r="EM81" s="28" t="str">
        <f>IF(VLOOKUP(BM81,Fundamentus!A:U,4,FALSE)&lt;1,"Baixo",IF(VLOOKUP(BM81,Fundamentus!A:U,4,FALSE)&lt;1.5,"Moderado",IF(VLOOKUP(BM81,Fundamentus!A:U,4,FALSE)&gt;1.5,"Alto","n/a")))</f>
        <v>Alto</v>
      </c>
      <c r="EN81" s="17" t="str">
        <f>IF(VLOOKUP(BM81,Fundamentus!A:U,8,FALSE)&lt;0,"Risco elevado",IF(VLOOKUP(BM81,Fundamentus!A:U,8,FALSE)&lt;1,"Saudável",IF(VLOOKUP(BM81,Fundamentus!A:U,8,FALSE)&lt;3,"Estável",IF(VLOOKUP(BM81,Fundamentus!A:U,8,FALSE)&gt;3,"Alerta","n/a"))))</f>
        <v>Alerta</v>
      </c>
      <c r="EO81" s="28" t="str">
        <f t="shared" si="111"/>
        <v>Bom</v>
      </c>
      <c r="EP81" s="17" t="str">
        <f>IF(VLOOKUP(BM81,Fundamentus!A:U,12,FALSE)&lt;2,"Subvalorizada",IF(VLOOKUP(BM81,Fundamentus!A:U,12,FALSE)&lt;6,"Muita barata",IF(VLOOKUP(BM81,Fundamentus!A:U,12,FALSE)&lt;6,"Barata",IF(VLOOKUP(BM81,Fundamentus!A:U,12,FALSE)&lt;8,"Atrativa",IF(VLOOKUP(BM81,Fundamentus!A:U,12,FALSE)&gt;8,"Supervalorizada","n/a")))))</f>
        <v>Atrativa</v>
      </c>
      <c r="ER81" s="17" t="str">
        <f>IF(VLOOKUP(BM81,Fundamentus!A:U,17,FALSE)&lt;0.1,"Fraco retorno",IF(VLOOKUP(BM81,Fundamentus!A:U,17,FALSE)&gt;0.1,"Bom retorno","n/a"))</f>
        <v>Bom retorno</v>
      </c>
      <c r="ES81" s="17" t="str">
        <f>IF(VLOOKUP(BM81,Fundamentus!A:U,16,FALSE)&lt;0.1,"Ineficiente",IF(VLOOKUP(BM81,Fundamentus!A:U,16,FALSE)&gt;0.1,"Eficiente","n/a"))</f>
        <v>Eficiente</v>
      </c>
      <c r="ET81" s="33" t="str">
        <f>IF(VLOOKUP(BM81,Fundamentus!A:U,16,FALSE)&lt;0.1,"Oper. Ineficiente",IF(VLOOKUP(BM81,Fundamentus!A:U,16,FALSE)&gt;0.1,"Oper.Eficiente","n/a"))</f>
        <v>Oper.Eficiente</v>
      </c>
      <c r="EU81" s="34">
        <f>VLOOKUP(BM81,Fundamentus!A:U,14,FALSE)</f>
        <v>0.2964</v>
      </c>
      <c r="EV81" s="17" t="str">
        <f>IF(VLOOKUP(BM81,Fundamentus!A:U,21,FALSE)&lt;0,"Negativo",IF(VLOOKUP(BM81,Fundamentus!A:U,21,FALSE)&lt;0.05,"Fraco",IF(VLOOKUP(BM81,Fundamentus!A:U,21,FALSE)&lt;0.1,"Bom",IF(VLOOKUP(BM81,Fundamentus!A:U,21,FALSE)&gt;0.1,"Muito bom","n/a"))))</f>
        <v>Negativo</v>
      </c>
      <c r="EX81" s="29" t="str">
        <f>IF(VLOOKUP(BM81,Fundamentus!A:U,15,FALSE)&gt;1,"Bom",IF(VLOOKUP(BM81,Fundamentus!A:U,15,FALSE)&lt;1,"Ruim","n/a"))</f>
        <v>Bom</v>
      </c>
      <c r="EY81" s="17" t="str">
        <f>IF(VLOOKUP(BM81,Fundamentus!A:U,20,FALSE)&lt;0.5,"Baixa",IF(VLOOKUP(BM81,Fundamentus!A:U,20,FALSE)&lt;1,"Moderada",IF(VLOOKUP(BM81,Fundamentus!A:U,20,FALSE)&lt;2,"Alerta",IF(VLOOKUP(BM81,Fundamentus!A:U,20,FALSE)&gt;2,"Alta","n/a"))))</f>
        <v>Alta</v>
      </c>
      <c r="EZ81" s="10"/>
    </row>
    <row r="82" spans="1:156" s="2" customFormat="1" ht="11.25" x14ac:dyDescent="0.2">
      <c r="A82" s="4">
        <v>23.86</v>
      </c>
      <c r="B82" s="4">
        <v>24.61</v>
      </c>
      <c r="C82" s="4">
        <v>29.19</v>
      </c>
      <c r="D82" s="4">
        <v>29.18</v>
      </c>
      <c r="E82" s="4">
        <v>28.86</v>
      </c>
      <c r="F82" s="4">
        <v>29.24</v>
      </c>
      <c r="G82" s="4">
        <v>28.61</v>
      </c>
      <c r="H82" s="4">
        <v>30.67</v>
      </c>
      <c r="I82" s="4">
        <v>32.270000000000003</v>
      </c>
      <c r="J82" s="4">
        <v>31.2</v>
      </c>
      <c r="K82" s="4">
        <v>32.1</v>
      </c>
      <c r="L82" s="4">
        <v>31.22</v>
      </c>
      <c r="M82" s="4">
        <v>33.020000000000003</v>
      </c>
      <c r="N82" s="4">
        <v>33.159999999999997</v>
      </c>
      <c r="O82" s="4">
        <v>33.31</v>
      </c>
      <c r="P82" s="4">
        <v>36.53</v>
      </c>
      <c r="Q82" s="4">
        <v>34.83</v>
      </c>
      <c r="R82" s="4">
        <v>35</v>
      </c>
      <c r="S82" s="4">
        <v>34.340000000000003</v>
      </c>
      <c r="T82" s="4">
        <v>33.06</v>
      </c>
      <c r="U82" s="4">
        <v>32.340000000000003</v>
      </c>
      <c r="V82" s="4">
        <v>31.11</v>
      </c>
      <c r="W82" s="4">
        <v>32.44</v>
      </c>
      <c r="X82" s="4">
        <v>31.87</v>
      </c>
      <c r="Y82" s="4">
        <v>34.58</v>
      </c>
      <c r="Z82" s="4">
        <v>34.619999999999997</v>
      </c>
      <c r="AA82" s="4">
        <v>35.5</v>
      </c>
      <c r="AB82" s="4">
        <v>34.97</v>
      </c>
      <c r="AC82" s="4">
        <v>35.200000000000003</v>
      </c>
      <c r="AD82" s="4">
        <v>35.65</v>
      </c>
      <c r="AE82" s="4">
        <v>37.24</v>
      </c>
      <c r="AF82" s="4">
        <v>39.020000000000003</v>
      </c>
      <c r="AG82" s="4">
        <v>38.44</v>
      </c>
      <c r="AH82" s="4">
        <v>37.21</v>
      </c>
      <c r="AI82" s="4">
        <v>36.21</v>
      </c>
      <c r="AJ82" s="4">
        <v>36.33</v>
      </c>
      <c r="AK82" s="4">
        <v>35.35</v>
      </c>
      <c r="AL82" s="4">
        <v>33.85</v>
      </c>
      <c r="AM82" s="4">
        <v>33.64</v>
      </c>
      <c r="AN82" s="4">
        <v>35.44</v>
      </c>
      <c r="AO82" s="4">
        <v>34.56</v>
      </c>
      <c r="AP82" s="4">
        <v>33.54</v>
      </c>
      <c r="AQ82" s="4">
        <v>31.44</v>
      </c>
      <c r="AR82" s="4">
        <v>30.99</v>
      </c>
      <c r="AS82" s="4">
        <v>31.5</v>
      </c>
      <c r="AT82" s="4">
        <v>33.229999999999997</v>
      </c>
      <c r="AU82" s="4">
        <v>41.46</v>
      </c>
      <c r="AV82" s="4">
        <v>41.58</v>
      </c>
      <c r="AW82" s="4">
        <v>40.79</v>
      </c>
      <c r="AX82" s="4">
        <v>41.33</v>
      </c>
      <c r="AY82" s="12">
        <v>43.55</v>
      </c>
      <c r="AZ82" s="12">
        <v>47.87</v>
      </c>
      <c r="BA82" s="12">
        <v>44.08</v>
      </c>
      <c r="BB82" s="15">
        <v>42.5</v>
      </c>
      <c r="BC82" s="52">
        <v>39.18</v>
      </c>
      <c r="BD82" s="52">
        <v>41.74</v>
      </c>
      <c r="BE82" s="52">
        <v>40.119999999999997</v>
      </c>
      <c r="BF82" s="52">
        <v>39.03</v>
      </c>
      <c r="BG82" s="67">
        <v>39.03</v>
      </c>
      <c r="BH82" s="52">
        <v>39.03</v>
      </c>
      <c r="BI82" s="52">
        <v>39.03</v>
      </c>
      <c r="BJ82" s="52">
        <v>39.03</v>
      </c>
      <c r="BK82" s="52">
        <v>39.03</v>
      </c>
      <c r="BL82" s="52" cm="1">
        <f t="array" aca="1" ref="BL82" ca="1">_FV(EC82,"Preço")</f>
        <v>39.03</v>
      </c>
      <c r="BM82" s="69" t="s">
        <v>79</v>
      </c>
      <c r="BN82" s="36" cm="1">
        <f t="array" aca="1" ref="BN82" ca="1">_FV(EC82,"Média de volume",TRUE)</f>
        <v>23419940</v>
      </c>
      <c r="BO82" s="36">
        <v>94391100</v>
      </c>
      <c r="BP82" s="36" cm="1">
        <f t="array" aca="1" ref="BP82" ca="1">_FV(EC82,"Volume")</f>
        <v>94391100</v>
      </c>
      <c r="BQ82" s="24" cm="1">
        <f t="array" aca="1" ref="BQ82" ca="1">_FV(EC82,"Beta")</f>
        <v>0.49909999999999999</v>
      </c>
      <c r="BR82" s="71" cm="1">
        <f t="array" aca="1" ref="BR82" ca="1">_FV(EC82,"Variação (%)",TRUE)</f>
        <v>0</v>
      </c>
      <c r="BT82" s="17" cm="1">
        <f t="array" aca="1" ref="BT82" ca="1">_FV(EC82,"Baixo")</f>
        <v>38.4</v>
      </c>
      <c r="BU82" s="17" cm="1">
        <f t="array" aca="1" ref="BU82" ca="1">_FV(EC82,"Alto")</f>
        <v>40.06</v>
      </c>
      <c r="BV82" s="24"/>
      <c r="BW82" s="63">
        <f ca="1">SQRT(22.5*(BL82/VLOOKUP(BM82,Fundamentus!A:U,3,FALSE))*(BL82/VLOOKUP(BM82,Fundamentus!A:U,4,FALSE)))</f>
        <v>118.86727711875339</v>
      </c>
      <c r="BY82" s="62">
        <f t="shared" ca="1" si="112"/>
        <v>0</v>
      </c>
      <c r="BZ82" s="8"/>
      <c r="CA82" s="61">
        <f t="shared" si="113"/>
        <v>23.86</v>
      </c>
      <c r="CB82" s="61">
        <f t="shared" si="114"/>
        <v>47.87</v>
      </c>
      <c r="CC82" s="61">
        <f t="shared" si="115"/>
        <v>35.220793650793659</v>
      </c>
      <c r="CD82" s="14"/>
      <c r="CE82" s="35">
        <f t="shared" si="98"/>
        <v>39.03</v>
      </c>
      <c r="CF82" s="15">
        <f t="shared" si="116"/>
        <v>39.03</v>
      </c>
      <c r="CG82" s="35">
        <f t="shared" si="99"/>
        <v>39.03</v>
      </c>
      <c r="CI82" s="14"/>
      <c r="CJ82" s="17">
        <f t="shared" si="100"/>
        <v>1.9599999999999937</v>
      </c>
      <c r="CK82" s="17">
        <f t="shared" si="101"/>
        <v>12.909999999999997</v>
      </c>
      <c r="CL82" s="17">
        <f t="shared" si="102"/>
        <v>25.969999999999992</v>
      </c>
      <c r="CM82" s="38">
        <f t="shared" si="117"/>
        <v>36.919999999999995</v>
      </c>
      <c r="CN82" s="17">
        <f t="shared" si="103"/>
        <v>49.97999999999999</v>
      </c>
      <c r="CO82" s="17">
        <f t="shared" si="104"/>
        <v>60.929999999999993</v>
      </c>
      <c r="CP82" s="17">
        <f t="shared" si="105"/>
        <v>73.989999999999981</v>
      </c>
      <c r="CQ82" s="2" cm="1">
        <f t="array" aca="1" ref="CQ82" ca="1">MAX(_xlfn._xlws.FILTER(CJ82:CP82,CJ82:CP82&lt;BL82))</f>
        <v>36.919999999999995</v>
      </c>
      <c r="CR82" s="2" cm="1">
        <f t="array" aca="1" ref="CR82" ca="1">MIN(_xlfn._xlws.FILTER($CJ82:$CP82,$CJ82:$CP82&gt;BL82))</f>
        <v>49.97999999999999</v>
      </c>
      <c r="CS82" s="16">
        <f t="shared" ca="1" si="80"/>
        <v>0.35373781148429018</v>
      </c>
      <c r="CT82" s="20">
        <f t="shared" ca="1" si="81"/>
        <v>-0.17686890574214509</v>
      </c>
      <c r="CU82" s="20">
        <f t="shared" ca="1" si="82"/>
        <v>-0.11791260382809672</v>
      </c>
      <c r="CV82" s="20">
        <f t="shared" ca="1" si="83"/>
        <v>-7.0747562296858038E-2</v>
      </c>
      <c r="CW82" s="20">
        <f t="shared" ca="1" si="84"/>
        <v>-3.9304201276032243E-2</v>
      </c>
      <c r="CX82" s="20">
        <f t="shared" ca="1" si="85"/>
        <v>-2.0808106557899421E-2</v>
      </c>
      <c r="CY82" s="20">
        <f t="shared" ca="1" si="86"/>
        <v>-1.0719327620736066E-2</v>
      </c>
      <c r="CZ82" s="20">
        <f t="shared" ca="1" si="87"/>
        <v>-5.4421201766813873E-3</v>
      </c>
      <c r="DA82" s="21">
        <f t="shared" ca="1" si="88"/>
        <v>5.4421201766813873E-3</v>
      </c>
      <c r="DB82" s="21">
        <f t="shared" ca="1" si="89"/>
        <v>1.0719327620736066E-2</v>
      </c>
      <c r="DC82" s="21">
        <f t="shared" ca="1" si="90"/>
        <v>2.0808106557899421E-2</v>
      </c>
      <c r="DD82" s="21">
        <f t="shared" ca="1" si="91"/>
        <v>3.9304201276032243E-2</v>
      </c>
      <c r="DE82" s="21">
        <f t="shared" ca="1" si="92"/>
        <v>7.0747562296858038E-2</v>
      </c>
      <c r="DF82" s="21">
        <f t="shared" ca="1" si="93"/>
        <v>0.11791260382809672</v>
      </c>
      <c r="DG82" s="21">
        <f t="shared" ca="1" si="94"/>
        <v>0.17686890574214509</v>
      </c>
      <c r="DI82" s="16" cm="1">
        <f t="array" aca="1" ref="DI82" ca="1">MAX(_xlfn._xlws.FILTER(CT82:DG82,CT82:DG82&lt;BR82))</f>
        <v>-5.4421201766813873E-3</v>
      </c>
      <c r="DJ82" s="16" cm="1">
        <f t="array" aca="1" ref="DJ82" ca="1">MIN(_xlfn._xlws.FILTER(CT82:DG82,CT82:DG82&gt;BR82))</f>
        <v>5.4421201766813873E-3</v>
      </c>
      <c r="DK82" s="2" cm="1">
        <f t="array" aca="1" ref="DK82" ca="1">_FV(EC82,"Fechamento anterior",TRUE)</f>
        <v>38.29</v>
      </c>
      <c r="DL82" s="28">
        <f t="shared" ca="1" si="106"/>
        <v>2.2756126474151319</v>
      </c>
      <c r="DM82" s="15">
        <f t="shared" ca="1" si="95"/>
        <v>38.081621218434869</v>
      </c>
      <c r="DN82" s="15">
        <f t="shared" ca="1" si="96"/>
        <v>38.49837878156513</v>
      </c>
      <c r="DO82" s="9"/>
      <c r="DP82" s="9"/>
      <c r="DQ82" s="9"/>
      <c r="DR82" s="89">
        <v>1.313343275030136E-2</v>
      </c>
      <c r="DS82" s="89">
        <v>1.0884240353362775E-2</v>
      </c>
      <c r="DT82" s="89">
        <v>1.0884240353362775E-2</v>
      </c>
      <c r="DU82" s="89">
        <v>1.0884240353362775E-2</v>
      </c>
      <c r="DV82" s="89">
        <f t="shared" ca="1" si="107"/>
        <v>1.0884240353362775E-2</v>
      </c>
      <c r="DW82" s="72" t="e">
        <f t="shared" ca="1" si="108"/>
        <v>#DIV/0!</v>
      </c>
      <c r="DX82" s="37"/>
      <c r="DY82" s="35">
        <f t="shared" si="118"/>
        <v>0</v>
      </c>
      <c r="DZ82" s="56"/>
      <c r="EA82" s="56"/>
      <c r="EC82" s="2" t="e" vm="82">
        <v>#VALUE!</v>
      </c>
      <c r="EE82" s="10" cm="1">
        <f t="array" aca="1" ref="EE82" ca="1">_FV(EC82,"Ações em circulação",TRUE)</f>
        <v>2218116000</v>
      </c>
      <c r="EF82" s="18">
        <f>VLOOKUP(BM82,Fundamentus!A:U,5,FALSE)</f>
        <v>7.6999999999999999E-2</v>
      </c>
      <c r="EG82" s="2">
        <f t="shared" ca="1" si="109"/>
        <v>1124325551688.3118</v>
      </c>
      <c r="EH82" s="17">
        <v>30918952671.428574</v>
      </c>
      <c r="EI82" s="17">
        <f t="shared" ca="1" si="110"/>
        <v>30918952671.428574</v>
      </c>
      <c r="EK82" s="16">
        <f t="shared" ca="1" si="97"/>
        <v>0</v>
      </c>
      <c r="EL82" s="32" t="str">
        <f>IF(VLOOKUP(BM82,Fundamentus!A:U,3,FALSE)&lt;15,"Bom",IF(VLOOKUP(BM82,Fundamentus!A:U,3,FALSE)&gt;15,"Ruim","n/a"))</f>
        <v>Bom</v>
      </c>
      <c r="EM82" s="28" t="str">
        <f>IF(VLOOKUP(BM82,Fundamentus!A:U,4,FALSE)&lt;1,"Baixo",IF(VLOOKUP(BM82,Fundamentus!A:U,4,FALSE)&lt;1.5,"Moderado",IF(VLOOKUP(BM82,Fundamentus!A:U,4,FALSE)&gt;1.5,"Alto","n/a")))</f>
        <v>Baixo</v>
      </c>
      <c r="EN82" s="17" t="str">
        <f>IF(VLOOKUP(BM82,Fundamentus!A:U,8,FALSE)&lt;0,"Risco elevado",IF(VLOOKUP(BM82,Fundamentus!A:U,8,FALSE)&lt;1,"Saudável",IF(VLOOKUP(BM82,Fundamentus!A:U,8,FALSE)&lt;3,"Estável",IF(VLOOKUP(BM82,Fundamentus!A:U,8,FALSE)&gt;3,"Alerta","n/a"))))</f>
        <v>Saudável</v>
      </c>
      <c r="EO82" s="28" t="str">
        <f t="shared" si="111"/>
        <v>Ruim</v>
      </c>
      <c r="EP82" s="17" t="str">
        <f>IF(VLOOKUP(BM82,Fundamentus!A:U,12,FALSE)&lt;2,"Subvalorizada",IF(VLOOKUP(BM82,Fundamentus!A:U,12,FALSE)&lt;6,"Muita barata",IF(VLOOKUP(BM82,Fundamentus!A:U,12,FALSE)&lt;6,"Barata",IF(VLOOKUP(BM82,Fundamentus!A:U,12,FALSE)&lt;8,"Atrativa",IF(VLOOKUP(BM82,Fundamentus!A:U,12,FALSE)&gt;8,"Supervalorizada","n/a")))))</f>
        <v>Muita barata</v>
      </c>
      <c r="ER82" s="17" t="str">
        <f>IF(VLOOKUP(BM82,Fundamentus!A:U,17,FALSE)&lt;0.1,"Fraco retorno",IF(VLOOKUP(BM82,Fundamentus!A:U,17,FALSE)&gt;0.1,"Bom retorno","n/a"))</f>
        <v>Bom retorno</v>
      </c>
      <c r="ES82" s="17" t="str">
        <f>IF(VLOOKUP(BM82,Fundamentus!A:U,16,FALSE)&lt;0.1,"Ineficiente",IF(VLOOKUP(BM82,Fundamentus!A:U,16,FALSE)&gt;0.1,"Eficiente","n/a"))</f>
        <v>Eficiente</v>
      </c>
      <c r="ET82" s="33" t="str">
        <f>IF(VLOOKUP(BM82,Fundamentus!A:U,16,FALSE)&lt;0.1,"Oper. Ineficiente",IF(VLOOKUP(BM82,Fundamentus!A:U,16,FALSE)&gt;0.1,"Oper.Eficiente","n/a"))</f>
        <v>Oper.Eficiente</v>
      </c>
      <c r="EU82" s="34">
        <f>VLOOKUP(BM82,Fundamentus!A:U,14,FALSE)</f>
        <v>2.75E-2</v>
      </c>
      <c r="EV82" s="17" t="str">
        <f>IF(VLOOKUP(BM82,Fundamentus!A:U,21,FALSE)&lt;0,"Negativo",IF(VLOOKUP(BM82,Fundamentus!A:U,21,FALSE)&lt;0.05,"Fraco",IF(VLOOKUP(BM82,Fundamentus!A:U,21,FALSE)&lt;0.1,"Bom",IF(VLOOKUP(BM82,Fundamentus!A:U,21,FALSE)&gt;0.1,"Muito bom","n/a"))))</f>
        <v>Bom</v>
      </c>
      <c r="EX82" s="29" t="str">
        <f>IF(VLOOKUP(BM82,Fundamentus!A:U,15,FALSE)&gt;1,"Bom",IF(VLOOKUP(BM82,Fundamentus!A:U,15,FALSE)&lt;1,"Ruim","n/a"))</f>
        <v>Bom</v>
      </c>
      <c r="EY82" s="17" t="str">
        <f>IF(VLOOKUP(BM82,Fundamentus!A:U,20,FALSE)&lt;0.5,"Baixa",IF(VLOOKUP(BM82,Fundamentus!A:U,20,FALSE)&lt;1,"Moderada",IF(VLOOKUP(BM82,Fundamentus!A:U,20,FALSE)&lt;2,"Alerta",IF(VLOOKUP(BM82,Fundamentus!A:U,20,FALSE)&gt;2,"Alta","n/a"))))</f>
        <v>Alta</v>
      </c>
      <c r="EZ82" s="10"/>
    </row>
    <row r="83" spans="1:156" s="2" customFormat="1" ht="11.25" x14ac:dyDescent="0.2">
      <c r="A83" s="4">
        <v>6.11</v>
      </c>
      <c r="B83" s="4">
        <v>5.88</v>
      </c>
      <c r="C83" s="4">
        <v>5.97</v>
      </c>
      <c r="D83" s="4">
        <v>5.45</v>
      </c>
      <c r="E83" s="4">
        <v>5.27</v>
      </c>
      <c r="F83" s="4">
        <v>5.4</v>
      </c>
      <c r="G83" s="4">
        <v>5.35</v>
      </c>
      <c r="H83" s="4">
        <v>5.0999999999999996</v>
      </c>
      <c r="I83" s="4">
        <v>5.22</v>
      </c>
      <c r="J83" s="4">
        <v>5.39</v>
      </c>
      <c r="K83" s="4">
        <v>5.44</v>
      </c>
      <c r="L83" s="4">
        <v>5.53</v>
      </c>
      <c r="M83" s="4">
        <v>5.78</v>
      </c>
      <c r="N83" s="4">
        <v>5.69</v>
      </c>
      <c r="O83" s="4">
        <v>6.15</v>
      </c>
      <c r="P83" s="4">
        <v>5.76</v>
      </c>
      <c r="Q83" s="4">
        <v>6.42</v>
      </c>
      <c r="R83" s="4">
        <v>6.32</v>
      </c>
      <c r="S83" s="4">
        <v>6.2</v>
      </c>
      <c r="T83" s="4">
        <v>6.18</v>
      </c>
      <c r="U83" s="4">
        <v>5.9</v>
      </c>
      <c r="V83" s="4">
        <v>5.55</v>
      </c>
      <c r="W83" s="4">
        <v>5.5</v>
      </c>
      <c r="X83" s="4">
        <v>5.7</v>
      </c>
      <c r="Y83" s="4">
        <v>5.7</v>
      </c>
      <c r="Z83" s="4">
        <v>6.28</v>
      </c>
      <c r="AA83" s="4">
        <v>6.95</v>
      </c>
      <c r="AB83" s="4">
        <v>7.47</v>
      </c>
      <c r="AC83" s="4">
        <v>7.05</v>
      </c>
      <c r="AD83" s="4">
        <v>6.84</v>
      </c>
      <c r="AE83" s="4">
        <v>7.04</v>
      </c>
      <c r="AF83" s="4">
        <v>7.01</v>
      </c>
      <c r="AG83" s="4">
        <v>6.3</v>
      </c>
      <c r="AH83" s="4">
        <v>6.09</v>
      </c>
      <c r="AI83" s="4">
        <v>6.28</v>
      </c>
      <c r="AJ83" s="4">
        <v>6.09</v>
      </c>
      <c r="AK83" s="4">
        <v>6.09</v>
      </c>
      <c r="AL83" s="4">
        <v>6.33</v>
      </c>
      <c r="AM83" s="4">
        <v>6.24</v>
      </c>
      <c r="AN83" s="4">
        <v>6.53</v>
      </c>
      <c r="AO83" s="4">
        <v>6.22</v>
      </c>
      <c r="AP83" s="4">
        <v>6.5</v>
      </c>
      <c r="AQ83" s="4">
        <v>6.84</v>
      </c>
      <c r="AR83" s="4">
        <v>6.75</v>
      </c>
      <c r="AS83" s="4">
        <v>6.92</v>
      </c>
      <c r="AT83" s="4">
        <v>7.34</v>
      </c>
      <c r="AU83" s="4">
        <v>7.35</v>
      </c>
      <c r="AV83" s="4">
        <v>7.32</v>
      </c>
      <c r="AW83" s="4">
        <v>6.74</v>
      </c>
      <c r="AX83" s="4">
        <v>7</v>
      </c>
      <c r="AY83" s="12">
        <v>7.5</v>
      </c>
      <c r="AZ83" s="12">
        <v>7.85</v>
      </c>
      <c r="BA83" s="12">
        <v>8.09</v>
      </c>
      <c r="BB83" s="15">
        <v>8.2100000000000009</v>
      </c>
      <c r="BC83" s="52">
        <v>8.15</v>
      </c>
      <c r="BD83" s="52">
        <v>8.5399999999999991</v>
      </c>
      <c r="BE83" s="52">
        <v>8.7200000000000006</v>
      </c>
      <c r="BF83" s="52">
        <v>8.43</v>
      </c>
      <c r="BG83" s="67">
        <v>8.69</v>
      </c>
      <c r="BH83" s="52">
        <v>8.86</v>
      </c>
      <c r="BI83" s="52">
        <v>8.52</v>
      </c>
      <c r="BJ83" s="52">
        <v>8.4700000000000006</v>
      </c>
      <c r="BK83" s="52">
        <v>8.2899999999999991</v>
      </c>
      <c r="BL83" s="52" cm="1">
        <f t="array" aca="1" ref="BL83" ca="1">_FV(EC83,"Preço")</f>
        <v>8.2899999999999991</v>
      </c>
      <c r="BM83" s="69" t="s">
        <v>80</v>
      </c>
      <c r="BN83" s="36" cm="1">
        <f t="array" aca="1" ref="BN83" ca="1">_FV(EC83,"Média de volume",TRUE)</f>
        <v>225780</v>
      </c>
      <c r="BO83" s="36">
        <v>91800</v>
      </c>
      <c r="BP83" s="36" cm="1">
        <f t="array" aca="1" ref="BP83" ca="1">_FV(EC83,"Volume")</f>
        <v>91800</v>
      </c>
      <c r="BQ83" s="24" cm="1">
        <f t="array" aca="1" ref="BQ83" ca="1">_FV(EC83,"Beta")</f>
        <v>1.2895000000000001</v>
      </c>
      <c r="BR83" s="71" cm="1">
        <f t="array" aca="1" ref="BR83" ca="1">_FV(EC83,"Variação (%)",TRUE)</f>
        <v>-1.2049999999999999E-3</v>
      </c>
      <c r="BT83" s="17" cm="1">
        <f t="array" aca="1" ref="BT83" ca="1">_FV(EC83,"Baixo")</f>
        <v>8.11</v>
      </c>
      <c r="BU83" s="17" cm="1">
        <f t="array" aca="1" ref="BU83" ca="1">_FV(EC83,"Alto")</f>
        <v>8.3000000000000007</v>
      </c>
      <c r="BV83" s="24"/>
      <c r="BW83" s="63">
        <f ca="1">SQRT(22.5*(BL83/VLOOKUP(BM83,Fundamentus!A:U,3,FALSE))*(BL83/VLOOKUP(BM83,Fundamentus!A:U,4,FALSE)))</f>
        <v>14.773452228644206</v>
      </c>
      <c r="BY83" s="62">
        <f t="shared" ca="1" si="112"/>
        <v>0</v>
      </c>
      <c r="BZ83" s="8"/>
      <c r="CA83" s="61">
        <f t="shared" si="113"/>
        <v>5.0999999999999996</v>
      </c>
      <c r="CB83" s="61">
        <f t="shared" si="114"/>
        <v>8.86</v>
      </c>
      <c r="CC83" s="61">
        <f t="shared" si="115"/>
        <v>6.6484126984126997</v>
      </c>
      <c r="CD83" s="14"/>
      <c r="CE83" s="35">
        <f t="shared" si="98"/>
        <v>8.0775559732668523</v>
      </c>
      <c r="CF83" s="15">
        <f t="shared" si="116"/>
        <v>8.4470000000001164</v>
      </c>
      <c r="CG83" s="35">
        <f t="shared" si="99"/>
        <v>8.8164440267333806</v>
      </c>
      <c r="CI83" s="14"/>
      <c r="CJ83" s="17">
        <f t="shared" si="100"/>
        <v>2.3333333333333339</v>
      </c>
      <c r="CK83" s="17">
        <f t="shared" si="101"/>
        <v>3.7166666666666668</v>
      </c>
      <c r="CL83" s="17">
        <f t="shared" si="102"/>
        <v>6.0933333333333337</v>
      </c>
      <c r="CM83" s="38">
        <f t="shared" si="117"/>
        <v>7.4766666666666666</v>
      </c>
      <c r="CN83" s="17">
        <f t="shared" si="103"/>
        <v>9.8533333333333335</v>
      </c>
      <c r="CO83" s="17">
        <f t="shared" si="104"/>
        <v>11.236666666666666</v>
      </c>
      <c r="CP83" s="17">
        <f t="shared" si="105"/>
        <v>13.613333333333333</v>
      </c>
      <c r="CQ83" s="2" cm="1">
        <f t="array" aca="1" ref="CQ83" ca="1">MAX(_xlfn._xlws.FILTER(CJ83:CP83,CJ83:CP83&lt;BL83))</f>
        <v>7.4766666666666666</v>
      </c>
      <c r="CR83" s="2" cm="1">
        <f t="array" aca="1" ref="CR83" ca="1">MIN(_xlfn._xlws.FILTER($CJ83:$CP83,$CJ83:$CP83&gt;BL83))</f>
        <v>9.8533333333333335</v>
      </c>
      <c r="CS83" s="16">
        <f t="shared" ref="CS83:CS114" ca="1" si="119">(CR83/CQ83)-1</f>
        <v>0.31787784217565762</v>
      </c>
      <c r="CT83" s="20">
        <f t="shared" ref="CT83:CT114" ca="1" si="120">-$CS83/2</f>
        <v>-0.15893892108782881</v>
      </c>
      <c r="CU83" s="20">
        <f t="shared" ref="CU83:CU114" ca="1" si="121">-$CS83/3</f>
        <v>-0.10595928072521921</v>
      </c>
      <c r="CV83" s="20">
        <f t="shared" ref="CV83:CV114" ca="1" si="122">-$CS83/5</f>
        <v>-6.3575568435131527E-2</v>
      </c>
      <c r="CW83" s="20">
        <f t="shared" ref="CW83:CW114" ca="1" si="123">-$CS83/9</f>
        <v>-3.5319760241739738E-2</v>
      </c>
      <c r="CX83" s="20">
        <f t="shared" ref="CX83:CX114" ca="1" si="124">-$CS83/17</f>
        <v>-1.8698696598568095E-2</v>
      </c>
      <c r="CY83" s="20">
        <f t="shared" ref="CY83:CY114" ca="1" si="125">-$CS83/33</f>
        <v>-9.6326618841108373E-3</v>
      </c>
      <c r="CZ83" s="20">
        <f t="shared" ref="CZ83:CZ114" ca="1" si="126">-$CS83/65</f>
        <v>-4.890428341163963E-3</v>
      </c>
      <c r="DA83" s="21">
        <f t="shared" ref="DA83:DA114" ca="1" si="127">-$CS83/65*-1</f>
        <v>4.890428341163963E-3</v>
      </c>
      <c r="DB83" s="21">
        <f t="shared" ref="DB83:DB114" ca="1" si="128">-$CS83/33*-1</f>
        <v>9.6326618841108373E-3</v>
      </c>
      <c r="DC83" s="21">
        <f t="shared" ref="DC83:DC114" ca="1" si="129">-$CS83/17*-1</f>
        <v>1.8698696598568095E-2</v>
      </c>
      <c r="DD83" s="21">
        <f t="shared" ref="DD83:DD114" ca="1" si="130">-$CS83/9*-1</f>
        <v>3.5319760241739738E-2</v>
      </c>
      <c r="DE83" s="21">
        <f t="shared" ref="DE83:DE114" ca="1" si="131">-$CS83/5*-1</f>
        <v>6.3575568435131527E-2</v>
      </c>
      <c r="DF83" s="21">
        <f t="shared" ref="DF83:DF114" ca="1" si="132">-$CS83/3*-1</f>
        <v>0.10595928072521921</v>
      </c>
      <c r="DG83" s="21">
        <f t="shared" ref="DG83:DG114" ca="1" si="133">-$CS83/2*-1</f>
        <v>0.15893892108782881</v>
      </c>
      <c r="DI83" s="16" cm="1">
        <f t="array" aca="1" ref="DI83" ca="1">MAX(_xlfn._xlws.FILTER(CT83:DG83,CT83:DG83&lt;BR83))</f>
        <v>-4.890428341163963E-3</v>
      </c>
      <c r="DJ83" s="16" cm="1">
        <f t="array" aca="1" ref="DJ83" ca="1">MIN(_xlfn._xlws.FILTER(CT83:DG83,CT83:DG83&gt;BR83))</f>
        <v>4.890428341163963E-3</v>
      </c>
      <c r="DK83" s="2" cm="1">
        <f t="array" aca="1" ref="DK83" ca="1">_FV(EC83,"Fechamento anterior",TRUE)</f>
        <v>8.3000000000000007</v>
      </c>
      <c r="DL83" s="28">
        <f t="shared" ca="1" si="106"/>
        <v>0.37681863498874529</v>
      </c>
      <c r="DM83" s="15">
        <f t="shared" ref="DM83:DM114" ca="1" si="134">DK83+(DK83*DI83)</f>
        <v>8.2594094447683393</v>
      </c>
      <c r="DN83" s="15">
        <f t="shared" ref="DN83:DN114" ca="1" si="135">DK83+(DK83*DJ83)</f>
        <v>8.3405905552316622</v>
      </c>
      <c r="DO83" s="9"/>
      <c r="DP83" s="9"/>
      <c r="DQ83" s="9"/>
      <c r="DR83" s="89">
        <v>7.2346380068165862E-3</v>
      </c>
      <c r="DS83" s="89">
        <v>4.7783994474354307E-3</v>
      </c>
      <c r="DT83" s="89">
        <v>9.0660347144572578E-3</v>
      </c>
      <c r="DU83" s="89">
        <v>9.780856682327926E-3</v>
      </c>
      <c r="DV83" s="89">
        <f t="shared" ca="1" si="107"/>
        <v>9.780856682327926E-3</v>
      </c>
      <c r="DW83" s="72">
        <f t="shared" ca="1" si="108"/>
        <v>-0.42496288649828434</v>
      </c>
      <c r="DX83" s="37"/>
      <c r="DY83" s="35">
        <f t="shared" si="118"/>
        <v>0.1847220133666321</v>
      </c>
      <c r="DZ83" s="56"/>
      <c r="EA83" s="56"/>
      <c r="EC83" s="2" t="e" vm="83">
        <v>#VALUE!</v>
      </c>
      <c r="EE83" s="10" cm="1">
        <f t="array" aca="1" ref="EE83" ca="1">_FV(EC83,"Ações em circulação",TRUE)</f>
        <v>123812800</v>
      </c>
      <c r="EF83" s="18">
        <f>VLOOKUP(BM83,Fundamentus!A:U,5,FALSE)</f>
        <v>0.10100000000000001</v>
      </c>
      <c r="EG83" s="2">
        <f t="shared" ca="1" si="109"/>
        <v>10162456554.455444</v>
      </c>
      <c r="EH83" s="17">
        <v>127030706.93069306</v>
      </c>
      <c r="EI83" s="17">
        <f t="shared" ca="1" si="110"/>
        <v>127030706.93069306</v>
      </c>
      <c r="EK83" s="16">
        <f t="shared" ca="1" si="97"/>
        <v>0</v>
      </c>
      <c r="EL83" s="32" t="str">
        <f>IF(VLOOKUP(BM83,Fundamentus!A:U,3,FALSE)&lt;15,"Bom",IF(VLOOKUP(BM83,Fundamentus!A:U,3,FALSE)&gt;15,"Ruim","n/a"))</f>
        <v>Bom</v>
      </c>
      <c r="EM83" s="28" t="str">
        <f>IF(VLOOKUP(BM83,Fundamentus!A:U,4,FALSE)&lt;1,"Baixo",IF(VLOOKUP(BM83,Fundamentus!A:U,4,FALSE)&lt;1.5,"Moderado",IF(VLOOKUP(BM83,Fundamentus!A:U,4,FALSE)&gt;1.5,"Alto","n/a")))</f>
        <v>Baixo</v>
      </c>
      <c r="EN83" s="17" t="str">
        <f>IF(VLOOKUP(BM83,Fundamentus!A:U,8,FALSE)&lt;0,"Risco elevado",IF(VLOOKUP(BM83,Fundamentus!A:U,8,FALSE)&lt;1,"Saudável",IF(VLOOKUP(BM83,Fundamentus!A:U,8,FALSE)&lt;3,"Estável",IF(VLOOKUP(BM83,Fundamentus!A:U,8,FALSE)&gt;3,"Alerta","n/a"))))</f>
        <v>Estável</v>
      </c>
      <c r="EO83" s="28" t="str">
        <f t="shared" si="111"/>
        <v>Ruim</v>
      </c>
      <c r="EP83" s="17" t="str">
        <f>IF(VLOOKUP(BM83,Fundamentus!A:U,12,FALSE)&lt;2,"Subvalorizada",IF(VLOOKUP(BM83,Fundamentus!A:U,12,FALSE)&lt;6,"Muita barata",IF(VLOOKUP(BM83,Fundamentus!A:U,12,FALSE)&lt;6,"Barata",IF(VLOOKUP(BM83,Fundamentus!A:U,12,FALSE)&lt;8,"Atrativa",IF(VLOOKUP(BM83,Fundamentus!A:U,12,FALSE)&gt;8,"Supervalorizada","n/a")))))</f>
        <v>Muita barata</v>
      </c>
      <c r="ER83" s="17" t="str">
        <f>IF(VLOOKUP(BM83,Fundamentus!A:U,17,FALSE)&lt;0.1,"Fraco retorno",IF(VLOOKUP(BM83,Fundamentus!A:U,17,FALSE)&gt;0.1,"Bom retorno","n/a"))</f>
        <v>Fraco retorno</v>
      </c>
      <c r="ES83" s="17" t="str">
        <f>IF(VLOOKUP(BM83,Fundamentus!A:U,16,FALSE)&lt;0.1,"Ineficiente",IF(VLOOKUP(BM83,Fundamentus!A:U,16,FALSE)&gt;0.1,"Eficiente","n/a"))</f>
        <v>Ineficiente</v>
      </c>
      <c r="ET83" s="33" t="str">
        <f>IF(VLOOKUP(BM83,Fundamentus!A:U,16,FALSE)&lt;0.1,"Oper. Ineficiente",IF(VLOOKUP(BM83,Fundamentus!A:U,16,FALSE)&gt;0.1,"Oper.Eficiente","n/a"))</f>
        <v>Oper. Ineficiente</v>
      </c>
      <c r="EU83" s="34">
        <f>VLOOKUP(BM83,Fundamentus!A:U,14,FALSE)</f>
        <v>1.2500000000000001E-2</v>
      </c>
      <c r="EV83" s="17" t="str">
        <f>IF(VLOOKUP(BM83,Fundamentus!A:U,21,FALSE)&lt;0,"Negativo",IF(VLOOKUP(BM83,Fundamentus!A:U,21,FALSE)&lt;0.05,"Fraco",IF(VLOOKUP(BM83,Fundamentus!A:U,21,FALSE)&lt;0.1,"Bom",IF(VLOOKUP(BM83,Fundamentus!A:U,21,FALSE)&gt;0.1,"Muito bom","n/a"))))</f>
        <v>Muito bom</v>
      </c>
      <c r="EX83" s="29" t="str">
        <f>IF(VLOOKUP(BM83,Fundamentus!A:U,15,FALSE)&gt;1,"Bom",IF(VLOOKUP(BM83,Fundamentus!A:U,15,FALSE)&lt;1,"Ruim","n/a"))</f>
        <v>Bom</v>
      </c>
      <c r="EY83" s="17" t="str">
        <f>IF(VLOOKUP(BM83,Fundamentus!A:U,20,FALSE)&lt;0.5,"Baixa",IF(VLOOKUP(BM83,Fundamentus!A:U,20,FALSE)&lt;1,"Moderada",IF(VLOOKUP(BM83,Fundamentus!A:U,20,FALSE)&lt;2,"Alerta",IF(VLOOKUP(BM83,Fundamentus!A:U,20,FALSE)&gt;2,"Alta","n/a"))))</f>
        <v>Moderada</v>
      </c>
      <c r="EZ83" s="10"/>
    </row>
    <row r="84" spans="1:156" s="2" customFormat="1" ht="11.25" x14ac:dyDescent="0.2">
      <c r="A84" s="4">
        <v>31.61</v>
      </c>
      <c r="B84" s="4">
        <v>30.93</v>
      </c>
      <c r="C84" s="4">
        <v>30.74</v>
      </c>
      <c r="D84" s="4">
        <v>30.02</v>
      </c>
      <c r="E84" s="4">
        <v>29.4</v>
      </c>
      <c r="F84" s="4">
        <v>29.48</v>
      </c>
      <c r="G84" s="4">
        <v>29.78</v>
      </c>
      <c r="H84" s="4">
        <v>29.27</v>
      </c>
      <c r="I84" s="4">
        <v>31</v>
      </c>
      <c r="J84" s="4">
        <v>32.58</v>
      </c>
      <c r="K84" s="4">
        <v>34.159999999999997</v>
      </c>
      <c r="L84" s="4">
        <v>32.49</v>
      </c>
      <c r="M84" s="4">
        <v>32.67</v>
      </c>
      <c r="N84" s="4">
        <v>33.06</v>
      </c>
      <c r="O84" s="4">
        <v>34.659999999999997</v>
      </c>
      <c r="P84" s="4">
        <v>34.89</v>
      </c>
      <c r="Q84" s="4">
        <v>35.31</v>
      </c>
      <c r="R84" s="4">
        <v>34.200000000000003</v>
      </c>
      <c r="S84" s="4">
        <v>34.799999999999997</v>
      </c>
      <c r="T84" s="4">
        <v>34</v>
      </c>
      <c r="U84" s="4">
        <v>32.65</v>
      </c>
      <c r="V84" s="4">
        <v>32.44</v>
      </c>
      <c r="W84" s="4">
        <v>32.5</v>
      </c>
      <c r="X84" s="4">
        <v>31.84</v>
      </c>
      <c r="Y84" s="4">
        <v>32.03</v>
      </c>
      <c r="Z84" s="4">
        <v>31.79</v>
      </c>
      <c r="AA84" s="4">
        <v>31.41</v>
      </c>
      <c r="AB84" s="4">
        <v>31.28</v>
      </c>
      <c r="AC84" s="4">
        <v>32.67</v>
      </c>
      <c r="AD84" s="4">
        <v>32.74</v>
      </c>
      <c r="AE84" s="4">
        <v>30.78</v>
      </c>
      <c r="AF84" s="4">
        <v>29.75</v>
      </c>
      <c r="AG84" s="4">
        <v>29.43</v>
      </c>
      <c r="AH84" s="4">
        <v>27.93</v>
      </c>
      <c r="AI84" s="4">
        <v>27.64</v>
      </c>
      <c r="AJ84" s="4">
        <v>26.24</v>
      </c>
      <c r="AK84" s="4">
        <v>27.16</v>
      </c>
      <c r="AL84" s="4">
        <v>27.86</v>
      </c>
      <c r="AM84" s="4">
        <v>28.37</v>
      </c>
      <c r="AN84" s="4">
        <v>30.15</v>
      </c>
      <c r="AO84" s="4">
        <v>30.3</v>
      </c>
      <c r="AP84" s="4">
        <v>31.43</v>
      </c>
      <c r="AQ84" s="4">
        <v>31.19</v>
      </c>
      <c r="AR84" s="4">
        <v>30.06</v>
      </c>
      <c r="AS84" s="4">
        <v>30.8</v>
      </c>
      <c r="AT84" s="4">
        <v>32.22</v>
      </c>
      <c r="AU84" s="4">
        <v>33.034999999999997</v>
      </c>
      <c r="AV84" s="4">
        <v>32.270000000000003</v>
      </c>
      <c r="AW84" s="4">
        <v>33.33</v>
      </c>
      <c r="AX84" s="4">
        <v>33.6</v>
      </c>
      <c r="AY84" s="12">
        <v>34.15</v>
      </c>
      <c r="AZ84" s="12">
        <v>35.950000000000003</v>
      </c>
      <c r="BA84" s="12">
        <v>36.81</v>
      </c>
      <c r="BB84" s="15">
        <v>36.81</v>
      </c>
      <c r="BC84" s="52">
        <v>36.99</v>
      </c>
      <c r="BD84" s="52">
        <v>36.29</v>
      </c>
      <c r="BE84" s="52">
        <v>36.65</v>
      </c>
      <c r="BF84" s="52">
        <v>36.25</v>
      </c>
      <c r="BG84" s="67">
        <v>36.4</v>
      </c>
      <c r="BH84" s="52">
        <v>35.93</v>
      </c>
      <c r="BI84" s="52">
        <v>35.28</v>
      </c>
      <c r="BJ84" s="52">
        <v>36.07</v>
      </c>
      <c r="BK84" s="52">
        <v>34.340000000000003</v>
      </c>
      <c r="BL84" s="52" cm="1">
        <f t="array" aca="1" ref="BL84" ca="1">_FV(EC84,"Preço")</f>
        <v>34.340000000000003</v>
      </c>
      <c r="BM84" s="69" t="s">
        <v>81</v>
      </c>
      <c r="BN84" s="36" cm="1">
        <f t="array" aca="1" ref="BN84" ca="1">_FV(EC84,"Média de volume",TRUE)</f>
        <v>5793670</v>
      </c>
      <c r="BO84" s="36">
        <v>6130000</v>
      </c>
      <c r="BP84" s="36" cm="1">
        <f t="array" aca="1" ref="BP84" ca="1">_FV(EC84,"Volume")</f>
        <v>6130000</v>
      </c>
      <c r="BQ84" s="24" cm="1">
        <f t="array" aca="1" ref="BQ84" ca="1">_FV(EC84,"Beta")</f>
        <v>0.90920000000000001</v>
      </c>
      <c r="BR84" s="71" cm="1">
        <f t="array" aca="1" ref="BR84" ca="1">_FV(EC84,"Variação (%)",TRUE)</f>
        <v>-2.9039999999999999E-3</v>
      </c>
      <c r="BT84" s="17" cm="1">
        <f t="array" aca="1" ref="BT84" ca="1">_FV(EC84,"Baixo")</f>
        <v>33.869999999999997</v>
      </c>
      <c r="BU84" s="17" cm="1">
        <f t="array" aca="1" ref="BU84" ca="1">_FV(EC84,"Alto")</f>
        <v>34.35</v>
      </c>
      <c r="BV84" s="24"/>
      <c r="BW84" s="63">
        <f ca="1">SQRT(22.5*(BL84/VLOOKUP(BM84,Fundamentus!A:U,3,FALSE))*(BL84/VLOOKUP(BM84,Fundamentus!A:U,4,FALSE)))</f>
        <v>32.485009805585186</v>
      </c>
      <c r="BY84" s="62">
        <f t="shared" ca="1" si="112"/>
        <v>0</v>
      </c>
      <c r="BZ84" s="8"/>
      <c r="CA84" s="61">
        <f t="shared" si="113"/>
        <v>26.24</v>
      </c>
      <c r="CB84" s="61">
        <f t="shared" si="114"/>
        <v>36.99</v>
      </c>
      <c r="CC84" s="61">
        <f t="shared" si="115"/>
        <v>32.347063492063491</v>
      </c>
      <c r="CD84" s="14"/>
      <c r="CE84" s="35">
        <f t="shared" si="98"/>
        <v>33.790023697624669</v>
      </c>
      <c r="CF84" s="15">
        <f t="shared" si="116"/>
        <v>35.206000000000131</v>
      </c>
      <c r="CG84" s="35">
        <f t="shared" si="99"/>
        <v>36.621976302375593</v>
      </c>
      <c r="CI84" s="14"/>
      <c r="CJ84" s="17">
        <f t="shared" si="100"/>
        <v>18.459999999999997</v>
      </c>
      <c r="CK84" s="17">
        <f t="shared" si="101"/>
        <v>22.349999999999998</v>
      </c>
      <c r="CL84" s="17">
        <f t="shared" si="102"/>
        <v>29.21</v>
      </c>
      <c r="CM84" s="38">
        <f t="shared" si="117"/>
        <v>33.1</v>
      </c>
      <c r="CN84" s="17">
        <f t="shared" si="103"/>
        <v>39.960000000000008</v>
      </c>
      <c r="CO84" s="17">
        <f t="shared" si="104"/>
        <v>43.850000000000009</v>
      </c>
      <c r="CP84" s="17">
        <f t="shared" si="105"/>
        <v>50.710000000000008</v>
      </c>
      <c r="CQ84" s="2" cm="1">
        <f t="array" aca="1" ref="CQ84" ca="1">MAX(_xlfn._xlws.FILTER(CJ84:CP84,CJ84:CP84&lt;BL84))</f>
        <v>33.1</v>
      </c>
      <c r="CR84" s="2" cm="1">
        <f t="array" aca="1" ref="CR84" ca="1">MIN(_xlfn._xlws.FILTER($CJ84:$CP84,$CJ84:$CP84&gt;BL84))</f>
        <v>39.960000000000008</v>
      </c>
      <c r="CS84" s="16">
        <f t="shared" ca="1" si="119"/>
        <v>0.20725075528700931</v>
      </c>
      <c r="CT84" s="20">
        <f t="shared" ca="1" si="120"/>
        <v>-0.10362537764350466</v>
      </c>
      <c r="CU84" s="20">
        <f t="shared" ca="1" si="121"/>
        <v>-6.9083585095669767E-2</v>
      </c>
      <c r="CV84" s="20">
        <f t="shared" ca="1" si="122"/>
        <v>-4.1450151057401866E-2</v>
      </c>
      <c r="CW84" s="20">
        <f t="shared" ca="1" si="123"/>
        <v>-2.3027861698556591E-2</v>
      </c>
      <c r="CX84" s="20">
        <f t="shared" ca="1" si="124"/>
        <v>-1.2191220899235841E-2</v>
      </c>
      <c r="CY84" s="20">
        <f t="shared" ca="1" si="125"/>
        <v>-6.2803259177881612E-3</v>
      </c>
      <c r="CZ84" s="20">
        <f t="shared" ca="1" si="126"/>
        <v>-3.1884731582616818E-3</v>
      </c>
      <c r="DA84" s="21">
        <f t="shared" ca="1" si="127"/>
        <v>3.1884731582616818E-3</v>
      </c>
      <c r="DB84" s="21">
        <f t="shared" ca="1" si="128"/>
        <v>6.2803259177881612E-3</v>
      </c>
      <c r="DC84" s="21">
        <f t="shared" ca="1" si="129"/>
        <v>1.2191220899235841E-2</v>
      </c>
      <c r="DD84" s="21">
        <f t="shared" ca="1" si="130"/>
        <v>2.3027861698556591E-2</v>
      </c>
      <c r="DE84" s="21">
        <f t="shared" ca="1" si="131"/>
        <v>4.1450151057401866E-2</v>
      </c>
      <c r="DF84" s="21">
        <f t="shared" ca="1" si="132"/>
        <v>6.9083585095669767E-2</v>
      </c>
      <c r="DG84" s="21">
        <f t="shared" ca="1" si="133"/>
        <v>0.10362537764350466</v>
      </c>
      <c r="DI84" s="16" cm="1">
        <f t="array" aca="1" ref="DI84" ca="1">MAX(_xlfn._xlws.FILTER(CT84:DG84,CT84:DG84&lt;BR84))</f>
        <v>-3.1884731582616818E-3</v>
      </c>
      <c r="DJ84" s="16" cm="1">
        <f t="array" aca="1" ref="DJ84" ca="1">MIN(_xlfn._xlws.FILTER(CT84:DG84,CT84:DG84&gt;BR84))</f>
        <v>3.1884731582616818E-3</v>
      </c>
      <c r="DK84" s="2" cm="1">
        <f t="array" aca="1" ref="DK84" ca="1">_FV(EC84,"Fechamento anterior",TRUE)</f>
        <v>34.44</v>
      </c>
      <c r="DL84" s="28">
        <f t="shared" ca="1" si="106"/>
        <v>4.4672274086379526E-2</v>
      </c>
      <c r="DM84" s="15">
        <f t="shared" ca="1" si="134"/>
        <v>34.330188984429462</v>
      </c>
      <c r="DN84" s="15">
        <f t="shared" ca="1" si="135"/>
        <v>34.549811015570533</v>
      </c>
      <c r="DO84" s="9"/>
      <c r="DP84" s="9"/>
      <c r="DQ84" s="9"/>
      <c r="DR84" s="89">
        <v>8.8873451812891656E-3</v>
      </c>
      <c r="DS84" s="89">
        <v>3.1310253532475796E-3</v>
      </c>
      <c r="DT84" s="89">
        <v>6.3769463165233636E-3</v>
      </c>
      <c r="DU84" s="89">
        <v>6.3769463165233636E-3</v>
      </c>
      <c r="DV84" s="89">
        <f t="shared" ca="1" si="107"/>
        <v>6.3769463165233636E-3</v>
      </c>
      <c r="DW84" s="72">
        <f t="shared" ca="1" si="108"/>
        <v>-0.61159215627218733</v>
      </c>
      <c r="DX84" s="37"/>
      <c r="DY84" s="35">
        <f t="shared" si="118"/>
        <v>0.70798815118773017</v>
      </c>
      <c r="DZ84" s="56"/>
      <c r="EA84" s="56"/>
      <c r="EC84" s="2" t="e" vm="84">
        <v>#VALUE!</v>
      </c>
      <c r="EE84" s="10" cm="1">
        <f t="array" aca="1" ref="EE84" ca="1">_FV(EC84,"Ações em circulação",TRUE)</f>
        <v>1254548000</v>
      </c>
      <c r="EF84" s="18">
        <f>VLOOKUP(BM84,Fundamentus!A:U,5,FALSE)</f>
        <v>0.96799999999999997</v>
      </c>
      <c r="EG84" s="2">
        <f t="shared" ca="1" si="109"/>
        <v>44505349504.13224</v>
      </c>
      <c r="EH84" s="17">
        <v>3676141869.0413232</v>
      </c>
      <c r="EI84" s="17">
        <f t="shared" ca="1" si="110"/>
        <v>3676141869.0413232</v>
      </c>
      <c r="EK84" s="16">
        <f t="shared" ca="1" si="97"/>
        <v>0</v>
      </c>
      <c r="EL84" s="32" t="str">
        <f>IF(VLOOKUP(BM84,Fundamentus!A:U,3,FALSE)&lt;15,"Bom",IF(VLOOKUP(BM84,Fundamentus!A:U,3,FALSE)&gt;15,"Ruim","n/a"))</f>
        <v>Bom</v>
      </c>
      <c r="EM84" s="28" t="str">
        <f>IF(VLOOKUP(BM84,Fundamentus!A:U,4,FALSE)&lt;1,"Baixo",IF(VLOOKUP(BM84,Fundamentus!A:U,4,FALSE)&lt;1.5,"Moderado",IF(VLOOKUP(BM84,Fundamentus!A:U,4,FALSE)&gt;1.5,"Alto","n/a")))</f>
        <v>Alto</v>
      </c>
      <c r="EN84" s="17" t="str">
        <f>IF(VLOOKUP(BM84,Fundamentus!A:U,8,FALSE)&lt;0,"Risco elevado",IF(VLOOKUP(BM84,Fundamentus!A:U,8,FALSE)&lt;1,"Saudável",IF(VLOOKUP(BM84,Fundamentus!A:U,8,FALSE)&lt;3,"Estável",IF(VLOOKUP(BM84,Fundamentus!A:U,8,FALSE)&gt;3,"Alerta","n/a"))))</f>
        <v>Alerta</v>
      </c>
      <c r="EO84" s="28" t="str">
        <f t="shared" si="111"/>
        <v>Ruim</v>
      </c>
      <c r="EP84" s="17" t="str">
        <f>IF(VLOOKUP(BM84,Fundamentus!A:U,12,FALSE)&lt;2,"Subvalorizada",IF(VLOOKUP(BM84,Fundamentus!A:U,12,FALSE)&lt;6,"Muita barata",IF(VLOOKUP(BM84,Fundamentus!A:U,12,FALSE)&lt;6,"Barata",IF(VLOOKUP(BM84,Fundamentus!A:U,12,FALSE)&lt;8,"Atrativa",IF(VLOOKUP(BM84,Fundamentus!A:U,12,FALSE)&gt;8,"Supervalorizada","n/a")))))</f>
        <v>Atrativa</v>
      </c>
      <c r="ER84" s="17" t="str">
        <f>IF(VLOOKUP(BM84,Fundamentus!A:U,17,FALSE)&lt;0.1,"Fraco retorno",IF(VLOOKUP(BM84,Fundamentus!A:U,17,FALSE)&gt;0.1,"Bom retorno","n/a"))</f>
        <v>Bom retorno</v>
      </c>
      <c r="ES84" s="17" t="str">
        <f>IF(VLOOKUP(BM84,Fundamentus!A:U,16,FALSE)&lt;0.1,"Ineficiente",IF(VLOOKUP(BM84,Fundamentus!A:U,16,FALSE)&gt;0.1,"Eficiente","n/a"))</f>
        <v>Ineficiente</v>
      </c>
      <c r="ET84" s="33" t="str">
        <f>IF(VLOOKUP(BM84,Fundamentus!A:U,16,FALSE)&lt;0.1,"Oper. Ineficiente",IF(VLOOKUP(BM84,Fundamentus!A:U,16,FALSE)&gt;0.1,"Oper.Eficiente","n/a"))</f>
        <v>Oper. Ineficiente</v>
      </c>
      <c r="EU84" s="34">
        <f>VLOOKUP(BM84,Fundamentus!A:U,14,FALSE)</f>
        <v>8.2600000000000007E-2</v>
      </c>
      <c r="EV84" s="17" t="str">
        <f>IF(VLOOKUP(BM84,Fundamentus!A:U,21,FALSE)&lt;0,"Negativo",IF(VLOOKUP(BM84,Fundamentus!A:U,21,FALSE)&lt;0.05,"Fraco",IF(VLOOKUP(BM84,Fundamentus!A:U,21,FALSE)&lt;0.1,"Bom",IF(VLOOKUP(BM84,Fundamentus!A:U,21,FALSE)&gt;0.1,"Muito bom","n/a"))))</f>
        <v>Muito bom</v>
      </c>
      <c r="EX84" s="29" t="str">
        <f>IF(VLOOKUP(BM84,Fundamentus!A:U,15,FALSE)&gt;1,"Bom",IF(VLOOKUP(BM84,Fundamentus!A:U,15,FALSE)&lt;1,"Ruim","n/a"))</f>
        <v>Bom</v>
      </c>
      <c r="EY84" s="17" t="str">
        <f>IF(VLOOKUP(BM84,Fundamentus!A:U,20,FALSE)&lt;0.5,"Baixa",IF(VLOOKUP(BM84,Fundamentus!A:U,20,FALSE)&lt;1,"Moderada",IF(VLOOKUP(BM84,Fundamentus!A:U,20,FALSE)&lt;2,"Alerta",IF(VLOOKUP(BM84,Fundamentus!A:U,20,FALSE)&gt;2,"Alta","n/a"))))</f>
        <v>Alta</v>
      </c>
      <c r="EZ84" s="10"/>
    </row>
    <row r="85" spans="1:156" s="2" customFormat="1" ht="11.25" x14ac:dyDescent="0.2">
      <c r="A85" s="4">
        <v>19.760000000000002</v>
      </c>
      <c r="B85" s="4">
        <v>19.3</v>
      </c>
      <c r="C85" s="4">
        <v>19.91</v>
      </c>
      <c r="D85" s="4">
        <v>19.5</v>
      </c>
      <c r="E85" s="4">
        <v>18.89</v>
      </c>
      <c r="F85" s="4">
        <v>18.66</v>
      </c>
      <c r="G85" s="4">
        <v>18.25</v>
      </c>
      <c r="H85" s="4">
        <v>18.16</v>
      </c>
      <c r="I85" s="4">
        <v>18.670000000000002</v>
      </c>
      <c r="J85" s="4">
        <v>18.45</v>
      </c>
      <c r="K85" s="4">
        <v>19.2</v>
      </c>
      <c r="L85" s="4">
        <v>18.45</v>
      </c>
      <c r="M85" s="4">
        <v>18.170000000000002</v>
      </c>
      <c r="N85" s="4">
        <v>18.38</v>
      </c>
      <c r="O85" s="4">
        <v>18.7</v>
      </c>
      <c r="P85" s="4">
        <v>19.22</v>
      </c>
      <c r="Q85" s="4">
        <v>20.11</v>
      </c>
      <c r="R85" s="4">
        <v>19.899999999999999</v>
      </c>
      <c r="S85" s="4">
        <v>20.43</v>
      </c>
      <c r="T85" s="4">
        <v>19.66</v>
      </c>
      <c r="U85" s="4">
        <v>19.77</v>
      </c>
      <c r="V85" s="4">
        <v>19.920000000000002</v>
      </c>
      <c r="W85" s="4">
        <v>18.84</v>
      </c>
      <c r="X85" s="4">
        <v>18.899999999999999</v>
      </c>
      <c r="Y85" s="4">
        <v>19.21</v>
      </c>
      <c r="Z85" s="4">
        <v>19.05</v>
      </c>
      <c r="AA85" s="4">
        <v>19.100000000000001</v>
      </c>
      <c r="AB85" s="4">
        <v>19.47</v>
      </c>
      <c r="AC85" s="4">
        <v>19.100000000000001</v>
      </c>
      <c r="AD85" s="4">
        <v>19.95</v>
      </c>
      <c r="AE85" s="4">
        <v>19.399999999999999</v>
      </c>
      <c r="AF85" s="4">
        <v>19.78</v>
      </c>
      <c r="AG85" s="4">
        <v>20.3</v>
      </c>
      <c r="AH85" s="4">
        <v>19.12</v>
      </c>
      <c r="AI85" s="4">
        <v>19.02</v>
      </c>
      <c r="AJ85" s="4">
        <v>18.899999999999999</v>
      </c>
      <c r="AK85" s="4">
        <v>18.23</v>
      </c>
      <c r="AL85" s="4">
        <v>18.32</v>
      </c>
      <c r="AM85" s="4">
        <v>18.100000000000001</v>
      </c>
      <c r="AN85" s="4">
        <v>18.75</v>
      </c>
      <c r="AO85" s="4">
        <v>18.2</v>
      </c>
      <c r="AP85" s="4">
        <v>19.63</v>
      </c>
      <c r="AQ85" s="4">
        <v>19.77</v>
      </c>
      <c r="AR85" s="4">
        <v>19.45</v>
      </c>
      <c r="AS85" s="4">
        <v>19.87</v>
      </c>
      <c r="AT85" s="4">
        <v>20.64</v>
      </c>
      <c r="AU85" s="4">
        <v>21.03</v>
      </c>
      <c r="AV85" s="4">
        <v>20.89</v>
      </c>
      <c r="AW85" s="4">
        <v>20.49</v>
      </c>
      <c r="AX85" s="4">
        <v>20.47</v>
      </c>
      <c r="AY85" s="12">
        <v>20.94</v>
      </c>
      <c r="AZ85" s="12">
        <v>22.13</v>
      </c>
      <c r="BA85" s="12">
        <v>22.9</v>
      </c>
      <c r="BB85" s="15">
        <v>22.72</v>
      </c>
      <c r="BC85" s="52">
        <v>23.53</v>
      </c>
      <c r="BD85" s="52">
        <v>24.4</v>
      </c>
      <c r="BE85" s="52">
        <v>25.05</v>
      </c>
      <c r="BF85" s="52">
        <v>24.51</v>
      </c>
      <c r="BG85" s="67">
        <v>24.45</v>
      </c>
      <c r="BH85" s="52">
        <v>24.99</v>
      </c>
      <c r="BI85" s="52">
        <v>24.91</v>
      </c>
      <c r="BJ85" s="52">
        <v>25.96</v>
      </c>
      <c r="BK85" s="52">
        <v>24.23</v>
      </c>
      <c r="BL85" s="52" cm="1">
        <f t="array" aca="1" ref="BL85" ca="1">_FV(EC85,"Preço")</f>
        <v>24.23</v>
      </c>
      <c r="BM85" s="69" t="s">
        <v>82</v>
      </c>
      <c r="BN85" s="36" cm="1">
        <f t="array" aca="1" ref="BN85" ca="1">_FV(EC85,"Média de volume",TRUE)</f>
        <v>730880</v>
      </c>
      <c r="BO85" s="36">
        <v>938500</v>
      </c>
      <c r="BP85" s="36" cm="1">
        <f t="array" aca="1" ref="BP85" ca="1">_FV(EC85,"Volume")</f>
        <v>938500</v>
      </c>
      <c r="BQ85" s="24" cm="1">
        <f t="array" aca="1" ref="BQ85" ca="1">_FV(EC85,"Beta")</f>
        <v>0.76019999999999999</v>
      </c>
      <c r="BR85" s="71" cm="1">
        <f t="array" aca="1" ref="BR85" ca="1">_FV(EC85,"Variação (%)",TRUE)</f>
        <v>-4.5190000000000004E-3</v>
      </c>
      <c r="BT85" s="17" cm="1">
        <f t="array" aca="1" ref="BT85" ca="1">_FV(EC85,"Baixo")</f>
        <v>24.07</v>
      </c>
      <c r="BU85" s="17" cm="1">
        <f t="array" aca="1" ref="BU85" ca="1">_FV(EC85,"Alto")</f>
        <v>24.49</v>
      </c>
      <c r="BV85" s="24"/>
      <c r="BW85" s="63">
        <f ca="1">SQRT(22.5*(BL85/VLOOKUP(BM85,Fundamentus!A:U,3,FALSE))*(BL85/VLOOKUP(BM85,Fundamentus!A:U,4,FALSE)))</f>
        <v>42.122889578023027</v>
      </c>
      <c r="BY85" s="62">
        <f t="shared" ca="1" si="112"/>
        <v>0</v>
      </c>
      <c r="BZ85" s="8"/>
      <c r="CA85" s="61">
        <f t="shared" si="113"/>
        <v>18.100000000000001</v>
      </c>
      <c r="CB85" s="61">
        <f t="shared" si="114"/>
        <v>25.96</v>
      </c>
      <c r="CC85" s="61">
        <f t="shared" si="115"/>
        <v>20.256507936507941</v>
      </c>
      <c r="CD85" s="14"/>
      <c r="CE85" s="35">
        <f t="shared" si="98"/>
        <v>23.831137668169877</v>
      </c>
      <c r="CF85" s="15">
        <f t="shared" si="116"/>
        <v>24.961000000000126</v>
      </c>
      <c r="CG85" s="35">
        <f t="shared" si="99"/>
        <v>26.090862331830376</v>
      </c>
      <c r="CI85" s="14"/>
      <c r="CJ85" s="17">
        <f t="shared" si="100"/>
        <v>12.860000000000007</v>
      </c>
      <c r="CK85" s="17">
        <f t="shared" si="101"/>
        <v>15.480000000000004</v>
      </c>
      <c r="CL85" s="17">
        <f t="shared" si="102"/>
        <v>20.720000000000006</v>
      </c>
      <c r="CM85" s="38">
        <f t="shared" si="117"/>
        <v>23.340000000000003</v>
      </c>
      <c r="CN85" s="17">
        <f t="shared" si="103"/>
        <v>28.580000000000005</v>
      </c>
      <c r="CO85" s="17">
        <f t="shared" si="104"/>
        <v>31.200000000000003</v>
      </c>
      <c r="CP85" s="17">
        <f t="shared" si="105"/>
        <v>36.440000000000005</v>
      </c>
      <c r="CQ85" s="2" cm="1">
        <f t="array" aca="1" ref="CQ85" ca="1">MAX(_xlfn._xlws.FILTER(CJ85:CP85,CJ85:CP85&lt;BL85))</f>
        <v>23.340000000000003</v>
      </c>
      <c r="CR85" s="2" cm="1">
        <f t="array" aca="1" ref="CR85" ca="1">MIN(_xlfn._xlws.FILTER($CJ85:$CP85,$CJ85:$CP85&gt;BL85))</f>
        <v>28.580000000000005</v>
      </c>
      <c r="CS85" s="16">
        <f t="shared" ca="1" si="119"/>
        <v>0.22450728363324779</v>
      </c>
      <c r="CT85" s="20">
        <f t="shared" ca="1" si="120"/>
        <v>-0.11225364181662389</v>
      </c>
      <c r="CU85" s="20">
        <f t="shared" ca="1" si="121"/>
        <v>-7.4835761211082596E-2</v>
      </c>
      <c r="CV85" s="20">
        <f t="shared" ca="1" si="122"/>
        <v>-4.4901456726649559E-2</v>
      </c>
      <c r="CW85" s="20">
        <f t="shared" ca="1" si="123"/>
        <v>-2.4945253737027533E-2</v>
      </c>
      <c r="CX85" s="20">
        <f t="shared" ca="1" si="124"/>
        <v>-1.3206310801955752E-2</v>
      </c>
      <c r="CY85" s="20">
        <f t="shared" ca="1" si="125"/>
        <v>-6.803251019189327E-3</v>
      </c>
      <c r="CZ85" s="20">
        <f t="shared" ca="1" si="126"/>
        <v>-3.4539582097422735E-3</v>
      </c>
      <c r="DA85" s="21">
        <f t="shared" ca="1" si="127"/>
        <v>3.4539582097422735E-3</v>
      </c>
      <c r="DB85" s="21">
        <f t="shared" ca="1" si="128"/>
        <v>6.803251019189327E-3</v>
      </c>
      <c r="DC85" s="21">
        <f t="shared" ca="1" si="129"/>
        <v>1.3206310801955752E-2</v>
      </c>
      <c r="DD85" s="21">
        <f t="shared" ca="1" si="130"/>
        <v>2.4945253737027533E-2</v>
      </c>
      <c r="DE85" s="21">
        <f t="shared" ca="1" si="131"/>
        <v>4.4901456726649559E-2</v>
      </c>
      <c r="DF85" s="21">
        <f t="shared" ca="1" si="132"/>
        <v>7.4835761211082596E-2</v>
      </c>
      <c r="DG85" s="21">
        <f t="shared" ca="1" si="133"/>
        <v>0.11225364181662389</v>
      </c>
      <c r="DI85" s="16" cm="1">
        <f t="array" aca="1" ref="DI85" ca="1">MAX(_xlfn._xlws.FILTER(CT85:DG85,CT85:DG85&lt;BR85))</f>
        <v>-6.803251019189327E-3</v>
      </c>
      <c r="DJ85" s="16" cm="1">
        <f t="array" aca="1" ref="DJ85" ca="1">MIN(_xlfn._xlws.FILTER(CT85:DG85,CT85:DG85&gt;BR85))</f>
        <v>-3.4539582097422735E-3</v>
      </c>
      <c r="DK85" s="2" cm="1">
        <f t="array" aca="1" ref="DK85" ca="1">_FV(EC85,"Fechamento anterior",TRUE)</f>
        <v>24.34</v>
      </c>
      <c r="DL85" s="28">
        <f t="shared" ca="1" si="106"/>
        <v>0.68191745869584797</v>
      </c>
      <c r="DM85" s="15">
        <f t="shared" ca="1" si="134"/>
        <v>24.174408870192931</v>
      </c>
      <c r="DN85" s="15">
        <f t="shared" ca="1" si="135"/>
        <v>24.255930657174872</v>
      </c>
      <c r="DO85" s="9"/>
      <c r="DP85" s="9"/>
      <c r="DQ85" s="9"/>
      <c r="DR85" s="89">
        <v>5.2658750645327799E-3</v>
      </c>
      <c r="DS85" s="89">
        <v>6.0537096040054602E-3</v>
      </c>
      <c r="DT85" s="89">
        <v>6.907916419484547E-3</v>
      </c>
      <c r="DU85" s="89">
        <v>3.3492928094470535E-3</v>
      </c>
      <c r="DV85" s="89">
        <f t="shared" ca="1" si="107"/>
        <v>3.3492928094470535E-3</v>
      </c>
      <c r="DW85" s="72">
        <f t="shared" ca="1" si="108"/>
        <v>-0.64698147677512918</v>
      </c>
      <c r="DX85" s="37"/>
      <c r="DY85" s="35">
        <f t="shared" si="118"/>
        <v>0.56493116591512482</v>
      </c>
      <c r="DZ85" s="56"/>
      <c r="EA85" s="56"/>
      <c r="EC85" s="2" t="e" vm="85">
        <v>#VALUE!</v>
      </c>
      <c r="EE85" s="10" cm="1">
        <f t="array" aca="1" ref="EE85" ca="1">_FV(EC85,"Ações em circulação",TRUE)</f>
        <v>1213797000</v>
      </c>
      <c r="EF85" s="18">
        <f>VLOOKUP(BM85,Fundamentus!A:U,5,FALSE)</f>
        <v>0.59799999999999998</v>
      </c>
      <c r="EG85" s="2">
        <f t="shared" ca="1" si="109"/>
        <v>49181105869.565216</v>
      </c>
      <c r="EH85" s="17">
        <v>3506612848.5</v>
      </c>
      <c r="EI85" s="17">
        <f t="shared" ca="1" si="110"/>
        <v>3506612848.5</v>
      </c>
      <c r="EK85" s="16">
        <f t="shared" ca="1" si="97"/>
        <v>0</v>
      </c>
      <c r="EL85" s="32" t="str">
        <f>IF(VLOOKUP(BM85,Fundamentus!A:U,3,FALSE)&lt;15,"Bom",IF(VLOOKUP(BM85,Fundamentus!A:U,3,FALSE)&gt;15,"Ruim","n/a"))</f>
        <v>Bom</v>
      </c>
      <c r="EM85" s="28" t="str">
        <f>IF(VLOOKUP(BM85,Fundamentus!A:U,4,FALSE)&lt;1,"Baixo",IF(VLOOKUP(BM85,Fundamentus!A:U,4,FALSE)&lt;1.5,"Moderado",IF(VLOOKUP(BM85,Fundamentus!A:U,4,FALSE)&gt;1.5,"Alto","n/a")))</f>
        <v>Baixo</v>
      </c>
      <c r="EN85" s="17" t="str">
        <f>IF(VLOOKUP(BM85,Fundamentus!A:U,8,FALSE)&lt;0,"Risco elevado",IF(VLOOKUP(BM85,Fundamentus!A:U,8,FALSE)&lt;1,"Saudável",IF(VLOOKUP(BM85,Fundamentus!A:U,8,FALSE)&lt;3,"Estável",IF(VLOOKUP(BM85,Fundamentus!A:U,8,FALSE)&gt;3,"Alerta","n/a"))))</f>
        <v>Alerta</v>
      </c>
      <c r="EO85" s="28" t="str">
        <f t="shared" si="111"/>
        <v>Ruim</v>
      </c>
      <c r="EP85" s="17" t="str">
        <f>IF(VLOOKUP(BM85,Fundamentus!A:U,12,FALSE)&lt;2,"Subvalorizada",IF(VLOOKUP(BM85,Fundamentus!A:U,12,FALSE)&lt;6,"Muita barata",IF(VLOOKUP(BM85,Fundamentus!A:U,12,FALSE)&lt;6,"Barata",IF(VLOOKUP(BM85,Fundamentus!A:U,12,FALSE)&lt;8,"Atrativa",IF(VLOOKUP(BM85,Fundamentus!A:U,12,FALSE)&gt;8,"Supervalorizada","n/a")))))</f>
        <v>Muita barata</v>
      </c>
      <c r="ER85" s="17" t="str">
        <f>IF(VLOOKUP(BM85,Fundamentus!A:U,17,FALSE)&lt;0.1,"Fraco retorno",IF(VLOOKUP(BM85,Fundamentus!A:U,17,FALSE)&gt;0.1,"Bom retorno","n/a"))</f>
        <v>Bom retorno</v>
      </c>
      <c r="ES85" s="17" t="str">
        <f>IF(VLOOKUP(BM85,Fundamentus!A:U,16,FALSE)&lt;0.1,"Ineficiente",IF(VLOOKUP(BM85,Fundamentus!A:U,16,FALSE)&gt;0.1,"Eficiente","n/a"))</f>
        <v>Eficiente</v>
      </c>
      <c r="ET85" s="33" t="str">
        <f>IF(VLOOKUP(BM85,Fundamentus!A:U,16,FALSE)&lt;0.1,"Oper. Ineficiente",IF(VLOOKUP(BM85,Fundamentus!A:U,16,FALSE)&gt;0.1,"Oper.Eficiente","n/a"))</f>
        <v>Oper.Eficiente</v>
      </c>
      <c r="EU85" s="34">
        <f>VLOOKUP(BM85,Fundamentus!A:U,14,FALSE)</f>
        <v>7.1300000000000002E-2</v>
      </c>
      <c r="EV85" s="17" t="str">
        <f>IF(VLOOKUP(BM85,Fundamentus!A:U,21,FALSE)&lt;0,"Negativo",IF(VLOOKUP(BM85,Fundamentus!A:U,21,FALSE)&lt;0.05,"Fraco",IF(VLOOKUP(BM85,Fundamentus!A:U,21,FALSE)&lt;0.1,"Bom",IF(VLOOKUP(BM85,Fundamentus!A:U,21,FALSE)&gt;0.1,"Muito bom","n/a"))))</f>
        <v>Bom</v>
      </c>
      <c r="EX85" s="29" t="str">
        <f>IF(VLOOKUP(BM85,Fundamentus!A:U,15,FALSE)&gt;1,"Bom",IF(VLOOKUP(BM85,Fundamentus!A:U,15,FALSE)&lt;1,"Ruim","n/a"))</f>
        <v>Bom</v>
      </c>
      <c r="EY85" s="17" t="str">
        <f>IF(VLOOKUP(BM85,Fundamentus!A:U,20,FALSE)&lt;0.5,"Baixa",IF(VLOOKUP(BM85,Fundamentus!A:U,20,FALSE)&lt;1,"Moderada",IF(VLOOKUP(BM85,Fundamentus!A:U,20,FALSE)&lt;2,"Alerta",IF(VLOOKUP(BM85,Fundamentus!A:U,20,FALSE)&gt;2,"Alta","n/a"))))</f>
        <v>Alerta</v>
      </c>
      <c r="EZ85" s="10"/>
    </row>
    <row r="86" spans="1:156" s="2" customFormat="1" ht="11.25" x14ac:dyDescent="0.2">
      <c r="A86" s="4">
        <v>10.01</v>
      </c>
      <c r="B86" s="4">
        <v>9.6300000000000008</v>
      </c>
      <c r="C86" s="4">
        <v>9.99</v>
      </c>
      <c r="D86" s="4">
        <v>9.16</v>
      </c>
      <c r="E86" s="4">
        <v>9</v>
      </c>
      <c r="F86" s="4">
        <v>8.9700000000000006</v>
      </c>
      <c r="G86" s="4">
        <v>8.75</v>
      </c>
      <c r="H86" s="4">
        <v>8.5500000000000007</v>
      </c>
      <c r="I86" s="4">
        <v>7.85</v>
      </c>
      <c r="J86" s="4">
        <v>8.57</v>
      </c>
      <c r="K86" s="4">
        <v>8.24</v>
      </c>
      <c r="L86" s="4">
        <v>7.4</v>
      </c>
      <c r="M86" s="4">
        <v>7</v>
      </c>
      <c r="N86" s="4">
        <v>7.1</v>
      </c>
      <c r="O86" s="4">
        <v>7.08</v>
      </c>
      <c r="P86" s="4">
        <v>6.75</v>
      </c>
      <c r="Q86" s="4">
        <v>6.83</v>
      </c>
      <c r="R86" s="4">
        <v>6.53</v>
      </c>
      <c r="S86" s="4">
        <v>6.3</v>
      </c>
      <c r="T86" s="4">
        <v>6.14</v>
      </c>
      <c r="U86" s="4">
        <v>5.65</v>
      </c>
      <c r="V86" s="4">
        <v>5.88</v>
      </c>
      <c r="W86" s="4">
        <v>5.93</v>
      </c>
      <c r="X86" s="4">
        <v>5.91</v>
      </c>
      <c r="Y86" s="4">
        <v>6.08</v>
      </c>
      <c r="Z86" s="4">
        <v>6.46</v>
      </c>
      <c r="AA86" s="4">
        <v>6.06</v>
      </c>
      <c r="AB86" s="4">
        <v>5.9</v>
      </c>
      <c r="AC86" s="4">
        <v>5.63</v>
      </c>
      <c r="AD86" s="4">
        <v>5.89</v>
      </c>
      <c r="AE86" s="4">
        <v>5.22</v>
      </c>
      <c r="AF86" s="4">
        <v>5.09</v>
      </c>
      <c r="AG86" s="4">
        <v>5.0999999999999996</v>
      </c>
      <c r="AH86" s="4">
        <v>5</v>
      </c>
      <c r="AI86" s="4">
        <v>5.07</v>
      </c>
      <c r="AJ86" s="4">
        <v>5.08</v>
      </c>
      <c r="AK86" s="4">
        <v>5.0199999999999996</v>
      </c>
      <c r="AL86" s="4">
        <v>5.48</v>
      </c>
      <c r="AM86" s="4">
        <v>5.45</v>
      </c>
      <c r="AN86" s="4">
        <v>5.71</v>
      </c>
      <c r="AO86" s="4">
        <v>5.43</v>
      </c>
      <c r="AP86" s="4">
        <v>5.78</v>
      </c>
      <c r="AQ86" s="4">
        <v>5.35</v>
      </c>
      <c r="AR86" s="4">
        <v>5</v>
      </c>
      <c r="AS86" s="4">
        <v>5.28</v>
      </c>
      <c r="AT86" s="4">
        <v>5.38</v>
      </c>
      <c r="AU86" s="4">
        <v>5.3949999999999996</v>
      </c>
      <c r="AV86" s="4">
        <v>5.22</v>
      </c>
      <c r="AW86" s="4">
        <v>4.96</v>
      </c>
      <c r="AX86" s="4">
        <v>4.97</v>
      </c>
      <c r="AY86" s="12">
        <v>5.42</v>
      </c>
      <c r="AZ86" s="12">
        <v>5.94</v>
      </c>
      <c r="BA86" s="12">
        <v>6.15</v>
      </c>
      <c r="BB86" s="15">
        <v>5.61</v>
      </c>
      <c r="BC86" s="52">
        <v>5.12</v>
      </c>
      <c r="BD86" s="52">
        <v>4.93</v>
      </c>
      <c r="BE86" s="52">
        <v>4.72</v>
      </c>
      <c r="BF86" s="52">
        <v>4.42</v>
      </c>
      <c r="BG86" s="67">
        <v>4.46</v>
      </c>
      <c r="BH86" s="52">
        <v>4.28</v>
      </c>
      <c r="BI86" s="52">
        <v>4.41</v>
      </c>
      <c r="BJ86" s="52">
        <v>4.67</v>
      </c>
      <c r="BK86" s="52">
        <v>4.62</v>
      </c>
      <c r="BL86" s="52" cm="1">
        <f t="array" aca="1" ref="BL86" ca="1">_FV(EC86,"Preço")</f>
        <v>4.62</v>
      </c>
      <c r="BM86" s="69" t="s">
        <v>83</v>
      </c>
      <c r="BN86" s="36" cm="1">
        <f t="array" aca="1" ref="BN86" ca="1">_FV(EC86,"Média de volume",TRUE)</f>
        <v>772800</v>
      </c>
      <c r="BO86" s="36">
        <v>679800</v>
      </c>
      <c r="BP86" s="36" cm="1">
        <f t="array" aca="1" ref="BP86" ca="1">_FV(EC86,"Volume")</f>
        <v>679800</v>
      </c>
      <c r="BQ86" s="24" cm="1">
        <f t="array" aca="1" ref="BQ86" ca="1">_FV(EC86,"Beta")</f>
        <v>1.873</v>
      </c>
      <c r="BR86" s="71" cm="1">
        <f t="array" aca="1" ref="BR86" ca="1">_FV(EC86,"Variação (%)",TRUE)</f>
        <v>-2.9411999999999997E-2</v>
      </c>
      <c r="BT86" s="17" cm="1">
        <f t="array" aca="1" ref="BT86" ca="1">_FV(EC86,"Baixo")</f>
        <v>4.62</v>
      </c>
      <c r="BU86" s="17" cm="1">
        <f t="array" aca="1" ref="BU86" ca="1">_FV(EC86,"Alto")</f>
        <v>4.8099999999999996</v>
      </c>
      <c r="BV86" s="24"/>
      <c r="BW86" s="63">
        <f ca="1">SQRT(22.5*(BL86/VLOOKUP(BM86,Fundamentus!A:U,3,FALSE))*(BL86/VLOOKUP(BM86,Fundamentus!A:U,4,FALSE)))</f>
        <v>2.3860674198871559</v>
      </c>
      <c r="BY86" s="62">
        <f t="shared" ca="1" si="112"/>
        <v>0</v>
      </c>
      <c r="BZ86" s="8"/>
      <c r="CA86" s="61">
        <f t="shared" si="113"/>
        <v>4.28</v>
      </c>
      <c r="CB86" s="61">
        <f t="shared" si="114"/>
        <v>10.01</v>
      </c>
      <c r="CC86" s="61">
        <f t="shared" si="115"/>
        <v>6.1742063492063499</v>
      </c>
      <c r="CD86" s="14"/>
      <c r="CE86" s="35">
        <f t="shared" si="98"/>
        <v>4.2950134683569914</v>
      </c>
      <c r="CF86" s="15">
        <f t="shared" si="116"/>
        <v>4.5589999999999691</v>
      </c>
      <c r="CG86" s="35">
        <f t="shared" si="99"/>
        <v>4.8229865316429468</v>
      </c>
      <c r="CI86" s="14"/>
      <c r="CJ86" s="17">
        <f t="shared" si="100"/>
        <v>-3.0999999999999988</v>
      </c>
      <c r="CK86" s="17">
        <f t="shared" si="101"/>
        <v>0.59000000000000075</v>
      </c>
      <c r="CL86" s="17">
        <f t="shared" si="102"/>
        <v>2.6300000000000008</v>
      </c>
      <c r="CM86" s="38">
        <f t="shared" si="117"/>
        <v>6.32</v>
      </c>
      <c r="CN86" s="17">
        <f t="shared" si="103"/>
        <v>8.36</v>
      </c>
      <c r="CO86" s="17">
        <f t="shared" si="104"/>
        <v>12.05</v>
      </c>
      <c r="CP86" s="17">
        <f t="shared" si="105"/>
        <v>14.09</v>
      </c>
      <c r="CQ86" s="2" cm="1">
        <f t="array" aca="1" ref="CQ86" ca="1">MAX(_xlfn._xlws.FILTER(CJ86:CP86,CJ86:CP86&lt;BL86))</f>
        <v>2.6300000000000008</v>
      </c>
      <c r="CR86" s="2" cm="1">
        <f t="array" aca="1" ref="CR86" ca="1">MIN(_xlfn._xlws.FILTER($CJ86:$CP86,$CJ86:$CP86&gt;BL86))</f>
        <v>6.32</v>
      </c>
      <c r="CS86" s="16">
        <f t="shared" ca="1" si="119"/>
        <v>1.4030418250950563</v>
      </c>
      <c r="CT86" s="20">
        <f t="shared" ca="1" si="120"/>
        <v>-0.70152091254752813</v>
      </c>
      <c r="CU86" s="20">
        <f t="shared" ca="1" si="121"/>
        <v>-0.46768060836501874</v>
      </c>
      <c r="CV86" s="20">
        <f t="shared" ca="1" si="122"/>
        <v>-0.28060836501901126</v>
      </c>
      <c r="CW86" s="20">
        <f t="shared" ca="1" si="123"/>
        <v>-0.15589353612167292</v>
      </c>
      <c r="CX86" s="20">
        <f t="shared" ca="1" si="124"/>
        <v>-8.2531872064415077E-2</v>
      </c>
      <c r="CY86" s="20">
        <f t="shared" ca="1" si="125"/>
        <v>-4.2516418942274432E-2</v>
      </c>
      <c r="CZ86" s="20">
        <f t="shared" ca="1" si="126"/>
        <v>-2.1585258847616251E-2</v>
      </c>
      <c r="DA86" s="21">
        <f t="shared" ca="1" si="127"/>
        <v>2.1585258847616251E-2</v>
      </c>
      <c r="DB86" s="21">
        <f t="shared" ca="1" si="128"/>
        <v>4.2516418942274432E-2</v>
      </c>
      <c r="DC86" s="21">
        <f t="shared" ca="1" si="129"/>
        <v>8.2531872064415077E-2</v>
      </c>
      <c r="DD86" s="21">
        <f t="shared" ca="1" si="130"/>
        <v>0.15589353612167292</v>
      </c>
      <c r="DE86" s="21">
        <f t="shared" ca="1" si="131"/>
        <v>0.28060836501901126</v>
      </c>
      <c r="DF86" s="21">
        <f t="shared" ca="1" si="132"/>
        <v>0.46768060836501874</v>
      </c>
      <c r="DG86" s="21">
        <f t="shared" ca="1" si="133"/>
        <v>0.70152091254752813</v>
      </c>
      <c r="DI86" s="16" cm="1">
        <f t="array" aca="1" ref="DI86" ca="1">MAX(_xlfn._xlws.FILTER(CT86:DG86,CT86:DG86&lt;BR86))</f>
        <v>-4.2516418942274432E-2</v>
      </c>
      <c r="DJ86" s="16" cm="1">
        <f t="array" aca="1" ref="DJ86" ca="1">MIN(_xlfn._xlws.FILTER(CT86:DG86,CT86:DG86&gt;BR86))</f>
        <v>-2.1585258847616251E-2</v>
      </c>
      <c r="DK86" s="2" cm="1">
        <f t="array" aca="1" ref="DK86" ca="1">_FV(EC86,"Fechamento anterior",TRUE)</f>
        <v>4.76</v>
      </c>
      <c r="DL86" s="28">
        <f t="shared" ca="1" si="106"/>
        <v>0.62608351267336237</v>
      </c>
      <c r="DM86" s="15">
        <f t="shared" ca="1" si="134"/>
        <v>4.5576218458347739</v>
      </c>
      <c r="DN86" s="15">
        <f t="shared" ca="1" si="135"/>
        <v>4.6572541678853465</v>
      </c>
      <c r="DO86" s="9"/>
      <c r="DP86" s="9"/>
      <c r="DQ86" s="9"/>
      <c r="DR86" s="89">
        <v>2.1745486152265812E-2</v>
      </c>
      <c r="DS86" s="89">
        <v>4.4228287841191052E-2</v>
      </c>
      <c r="DT86" s="89">
        <v>4.3170517695232502E-2</v>
      </c>
      <c r="DU86" s="89">
        <v>2.0931160094658181E-2</v>
      </c>
      <c r="DV86" s="89">
        <f t="shared" ca="1" si="107"/>
        <v>2.0931160094658181E-2</v>
      </c>
      <c r="DW86" s="72">
        <f t="shared" ca="1" si="108"/>
        <v>0.2310723945664358</v>
      </c>
      <c r="DX86" s="37"/>
      <c r="DY86" s="35">
        <f t="shared" si="118"/>
        <v>0.13199326582148879</v>
      </c>
      <c r="DZ86" s="56"/>
      <c r="EA86" s="56"/>
      <c r="EC86" s="2" t="e" vm="86">
        <v>#VALUE!</v>
      </c>
      <c r="EE86" s="10" cm="1">
        <f t="array" aca="1" ref="EE86" ca="1">_FV(EC86,"Ações em circulação",TRUE)</f>
        <v>141800000</v>
      </c>
      <c r="EF86" s="18">
        <f>VLOOKUP(BM86,Fundamentus!A:U,5,FALSE)</f>
        <v>0.186</v>
      </c>
      <c r="EG86" s="2">
        <f t="shared" ca="1" si="109"/>
        <v>3522129032.2580647</v>
      </c>
      <c r="EH86" s="17">
        <v>8453109.6774193551</v>
      </c>
      <c r="EI86" s="17">
        <f t="shared" ca="1" si="110"/>
        <v>8453109.6774193551</v>
      </c>
      <c r="EK86" s="16">
        <f t="shared" ca="1" si="97"/>
        <v>0</v>
      </c>
      <c r="EL86" s="32" t="str">
        <f>IF(VLOOKUP(BM86,Fundamentus!A:U,3,FALSE)&lt;15,"Bom",IF(VLOOKUP(BM86,Fundamentus!A:U,3,FALSE)&gt;15,"Ruim","n/a"))</f>
        <v>Ruim</v>
      </c>
      <c r="EM86" s="28" t="str">
        <f>IF(VLOOKUP(BM86,Fundamentus!A:U,4,FALSE)&lt;1,"Baixo",IF(VLOOKUP(BM86,Fundamentus!A:U,4,FALSE)&lt;1.5,"Moderado",IF(VLOOKUP(BM86,Fundamentus!A:U,4,FALSE)&gt;1.5,"Alto","n/a")))</f>
        <v>Baixo</v>
      </c>
      <c r="EN86" s="17" t="str">
        <f>IF(VLOOKUP(BM86,Fundamentus!A:U,8,FALSE)&lt;0,"Risco elevado",IF(VLOOKUP(BM86,Fundamentus!A:U,8,FALSE)&lt;1,"Saudável",IF(VLOOKUP(BM86,Fundamentus!A:U,8,FALSE)&lt;3,"Estável",IF(VLOOKUP(BM86,Fundamentus!A:U,8,FALSE)&gt;3,"Alerta","n/a"))))</f>
        <v>Saudável</v>
      </c>
      <c r="EO86" s="28" t="str">
        <f t="shared" si="111"/>
        <v>Ruim</v>
      </c>
      <c r="EP86" s="17" t="str">
        <f>IF(VLOOKUP(BM86,Fundamentus!A:U,12,FALSE)&lt;2,"Subvalorizada",IF(VLOOKUP(BM86,Fundamentus!A:U,12,FALSE)&lt;6,"Muita barata",IF(VLOOKUP(BM86,Fundamentus!A:U,12,FALSE)&lt;6,"Barata",IF(VLOOKUP(BM86,Fundamentus!A:U,12,FALSE)&lt;8,"Atrativa",IF(VLOOKUP(BM86,Fundamentus!A:U,12,FALSE)&gt;8,"Supervalorizada","n/a")))))</f>
        <v>Muita barata</v>
      </c>
      <c r="ER86" s="17" t="str">
        <f>IF(VLOOKUP(BM86,Fundamentus!A:U,17,FALSE)&lt;0.1,"Fraco retorno",IF(VLOOKUP(BM86,Fundamentus!A:U,17,FALSE)&gt;0.1,"Bom retorno","n/a"))</f>
        <v>Fraco retorno</v>
      </c>
      <c r="ES86" s="17" t="str">
        <f>IF(VLOOKUP(BM86,Fundamentus!A:U,16,FALSE)&lt;0.1,"Ineficiente",IF(VLOOKUP(BM86,Fundamentus!A:U,16,FALSE)&gt;0.1,"Eficiente","n/a"))</f>
        <v>Ineficiente</v>
      </c>
      <c r="ET86" s="33" t="str">
        <f>IF(VLOOKUP(BM86,Fundamentus!A:U,16,FALSE)&lt;0.1,"Oper. Ineficiente",IF(VLOOKUP(BM86,Fundamentus!A:U,16,FALSE)&gt;0.1,"Oper.Eficiente","n/a"))</f>
        <v>Oper. Ineficiente</v>
      </c>
      <c r="EU86" s="34">
        <f>VLOOKUP(BM86,Fundamentus!A:U,14,FALSE)</f>
        <v>2.3999999999999998E-3</v>
      </c>
      <c r="EV86" s="17" t="str">
        <f>IF(VLOOKUP(BM86,Fundamentus!A:U,21,FALSE)&lt;0,"Negativo",IF(VLOOKUP(BM86,Fundamentus!A:U,21,FALSE)&lt;0.05,"Fraco",IF(VLOOKUP(BM86,Fundamentus!A:U,21,FALSE)&lt;0.1,"Bom",IF(VLOOKUP(BM86,Fundamentus!A:U,21,FALSE)&gt;0.1,"Muito bom","n/a"))))</f>
        <v>Bom</v>
      </c>
      <c r="EX86" s="29" t="str">
        <f>IF(VLOOKUP(BM86,Fundamentus!A:U,15,FALSE)&gt;1,"Bom",IF(VLOOKUP(BM86,Fundamentus!A:U,15,FALSE)&lt;1,"Ruim","n/a"))</f>
        <v>Bom</v>
      </c>
      <c r="EY86" s="17" t="str">
        <f>IF(VLOOKUP(BM86,Fundamentus!A:U,20,FALSE)&lt;0.5,"Baixa",IF(VLOOKUP(BM86,Fundamentus!A:U,20,FALSE)&lt;1,"Moderada",IF(VLOOKUP(BM86,Fundamentus!A:U,20,FALSE)&lt;2,"Alerta",IF(VLOOKUP(BM86,Fundamentus!A:U,20,FALSE)&gt;2,"Alta","n/a"))))</f>
        <v>Moderada</v>
      </c>
      <c r="EZ86" s="10"/>
    </row>
    <row r="87" spans="1:156" s="2" customFormat="1" ht="11.25" x14ac:dyDescent="0.2">
      <c r="A87" s="4">
        <v>1.2</v>
      </c>
      <c r="B87" s="4">
        <v>1.17</v>
      </c>
      <c r="C87" s="4">
        <v>1.08</v>
      </c>
      <c r="D87" s="4">
        <v>1.1100000000000001</v>
      </c>
      <c r="E87" s="4">
        <v>1.05</v>
      </c>
      <c r="F87" s="4">
        <v>1</v>
      </c>
      <c r="G87" s="4">
        <v>0.98</v>
      </c>
      <c r="H87" s="4">
        <v>0.9</v>
      </c>
      <c r="I87" s="4">
        <v>0.87</v>
      </c>
      <c r="J87" s="4">
        <v>0.94</v>
      </c>
      <c r="K87" s="4">
        <v>0.92</v>
      </c>
      <c r="L87" s="4">
        <v>0.88</v>
      </c>
      <c r="M87" s="4">
        <v>0.85</v>
      </c>
      <c r="N87" s="4">
        <v>0.88</v>
      </c>
      <c r="O87" s="4">
        <v>0.91</v>
      </c>
      <c r="P87" s="4">
        <v>0.9</v>
      </c>
      <c r="Q87" s="4">
        <v>0.93</v>
      </c>
      <c r="R87" s="4">
        <v>0.9</v>
      </c>
      <c r="S87" s="4">
        <v>0.89</v>
      </c>
      <c r="T87" s="4">
        <v>0.87</v>
      </c>
      <c r="U87" s="4">
        <v>0.84</v>
      </c>
      <c r="V87" s="4">
        <v>0.84</v>
      </c>
      <c r="W87" s="4">
        <v>0.83</v>
      </c>
      <c r="X87" s="4">
        <v>0.79</v>
      </c>
      <c r="Y87" s="4">
        <v>0.8</v>
      </c>
      <c r="Z87" s="4">
        <v>0.8</v>
      </c>
      <c r="AA87" s="4">
        <v>0.78</v>
      </c>
      <c r="AB87" s="4">
        <v>0.78</v>
      </c>
      <c r="AC87" s="4">
        <v>0.7</v>
      </c>
      <c r="AD87" s="4">
        <v>0.69</v>
      </c>
      <c r="AE87" s="4">
        <v>0.59</v>
      </c>
      <c r="AF87" s="4">
        <v>0.59</v>
      </c>
      <c r="AG87" s="4">
        <v>0.57999999999999996</v>
      </c>
      <c r="AH87" s="4">
        <v>0.51</v>
      </c>
      <c r="AI87" s="4">
        <v>0.5</v>
      </c>
      <c r="AJ87" s="4">
        <v>0.5</v>
      </c>
      <c r="AK87" s="4">
        <v>0.52</v>
      </c>
      <c r="AL87" s="4">
        <v>4.75</v>
      </c>
      <c r="AM87" s="4">
        <v>4.55</v>
      </c>
      <c r="AN87" s="4">
        <v>4.75</v>
      </c>
      <c r="AO87" s="4">
        <v>5.09</v>
      </c>
      <c r="AP87" s="4">
        <v>4.95</v>
      </c>
      <c r="AQ87" s="4">
        <v>5.3</v>
      </c>
      <c r="AR87" s="4">
        <v>5.14</v>
      </c>
      <c r="AS87" s="4">
        <v>5.18</v>
      </c>
      <c r="AT87" s="4">
        <v>4.97</v>
      </c>
      <c r="AU87" s="4">
        <v>5.04</v>
      </c>
      <c r="AV87" s="4">
        <v>5.5</v>
      </c>
      <c r="AW87" s="4">
        <v>5.25</v>
      </c>
      <c r="AX87" s="4">
        <v>5.05</v>
      </c>
      <c r="AY87" s="12">
        <v>4.91</v>
      </c>
      <c r="AZ87" s="12">
        <v>5.05</v>
      </c>
      <c r="BA87" s="12">
        <v>4.5</v>
      </c>
      <c r="BB87" s="15">
        <v>4.8</v>
      </c>
      <c r="BC87" s="52">
        <v>4.67</v>
      </c>
      <c r="BD87" s="52">
        <v>4.33</v>
      </c>
      <c r="BE87" s="52">
        <v>4.3600000000000003</v>
      </c>
      <c r="BF87" s="52">
        <v>4.2</v>
      </c>
      <c r="BG87" s="67">
        <v>4.25</v>
      </c>
      <c r="BH87" s="52">
        <v>4.24</v>
      </c>
      <c r="BI87" s="52">
        <v>3.6</v>
      </c>
      <c r="BJ87" s="52">
        <v>3.67</v>
      </c>
      <c r="BK87" s="52">
        <v>3.57</v>
      </c>
      <c r="BL87" s="52" cm="1">
        <f t="array" aca="1" ref="BL87" ca="1">_FV(EC87,"Preço")</f>
        <v>3.57</v>
      </c>
      <c r="BM87" s="69" t="s">
        <v>84</v>
      </c>
      <c r="BN87" s="36" cm="1">
        <f t="array" aca="1" ref="BN87" ca="1">_FV(EC87,"Média de volume",TRUE)</f>
        <v>4710</v>
      </c>
      <c r="BO87" s="36">
        <v>700</v>
      </c>
      <c r="BP87" s="36" cm="1">
        <f t="array" aca="1" ref="BP87" ca="1">_FV(EC87,"Volume")</f>
        <v>700</v>
      </c>
      <c r="BQ87" s="24" cm="1">
        <f t="array" aca="1" ref="BQ87" ca="1">_FV(EC87,"Beta")</f>
        <v>1.1556</v>
      </c>
      <c r="BR87" s="71" cm="1">
        <f t="array" aca="1" ref="BR87" ca="1">_FV(EC87,"Variação (%)",TRUE)</f>
        <v>2.8089999999999999E-3</v>
      </c>
      <c r="BT87" s="17" cm="1">
        <f t="array" aca="1" ref="BT87" ca="1">_FV(EC87,"Baixo")</f>
        <v>3.56</v>
      </c>
      <c r="BU87" s="17" cm="1">
        <f t="array" aca="1" ref="BU87" ca="1">_FV(EC87,"Alto")</f>
        <v>3.57</v>
      </c>
      <c r="BV87" s="24"/>
      <c r="BW87" s="63" t="e">
        <f ca="1">SQRT(22.5*(BL87/VLOOKUP(BM87,Fundamentus!A:U,3,FALSE))*(BL87/VLOOKUP(BM87,Fundamentus!A:U,4,FALSE)))</f>
        <v>#NUM!</v>
      </c>
      <c r="BY87" s="62">
        <f t="shared" ca="1" si="112"/>
        <v>0</v>
      </c>
      <c r="BZ87" s="8"/>
      <c r="CA87" s="61">
        <f t="shared" si="113"/>
        <v>0.5</v>
      </c>
      <c r="CB87" s="61">
        <f t="shared" si="114"/>
        <v>5.5</v>
      </c>
      <c r="CC87" s="61">
        <f t="shared" si="115"/>
        <v>2.421269841269841</v>
      </c>
      <c r="CD87" s="14"/>
      <c r="CE87" s="35">
        <f t="shared" si="98"/>
        <v>3.0527401978023887</v>
      </c>
      <c r="CF87" s="15">
        <f t="shared" si="116"/>
        <v>3.6730000000000018</v>
      </c>
      <c r="CG87" s="35">
        <f t="shared" si="99"/>
        <v>4.2932598021976149</v>
      </c>
      <c r="CI87" s="14"/>
      <c r="CJ87" s="17">
        <f t="shared" si="100"/>
        <v>-4.0533333333333337</v>
      </c>
      <c r="CK87" s="17">
        <f t="shared" si="101"/>
        <v>-1.7766666666666668</v>
      </c>
      <c r="CL87" s="17">
        <f t="shared" si="102"/>
        <v>0.94666666666666632</v>
      </c>
      <c r="CM87" s="38">
        <f t="shared" si="117"/>
        <v>3.2233333333333332</v>
      </c>
      <c r="CN87" s="17">
        <f t="shared" si="103"/>
        <v>5.9466666666666663</v>
      </c>
      <c r="CO87" s="17">
        <f t="shared" si="104"/>
        <v>8.2233333333333327</v>
      </c>
      <c r="CP87" s="17">
        <f t="shared" si="105"/>
        <v>10.946666666666665</v>
      </c>
      <c r="CQ87" s="2" cm="1">
        <f t="array" aca="1" ref="CQ87" ca="1">MAX(_xlfn._xlws.FILTER(CJ87:CP87,CJ87:CP87&lt;BL87))</f>
        <v>3.2233333333333332</v>
      </c>
      <c r="CR87" s="2" cm="1">
        <f t="array" aca="1" ref="CR87" ca="1">MIN(_xlfn._xlws.FILTER($CJ87:$CP87,$CJ87:$CP87&gt;BL87))</f>
        <v>5.9466666666666663</v>
      </c>
      <c r="CS87" s="16">
        <f t="shared" ca="1" si="119"/>
        <v>0.84488107549120994</v>
      </c>
      <c r="CT87" s="20">
        <f t="shared" ca="1" si="120"/>
        <v>-0.42244053774560497</v>
      </c>
      <c r="CU87" s="20">
        <f t="shared" ca="1" si="121"/>
        <v>-0.28162702516373667</v>
      </c>
      <c r="CV87" s="20">
        <f t="shared" ca="1" si="122"/>
        <v>-0.16897621509824198</v>
      </c>
      <c r="CW87" s="20">
        <f t="shared" ca="1" si="123"/>
        <v>-9.3875675054578889E-2</v>
      </c>
      <c r="CX87" s="20">
        <f t="shared" ca="1" si="124"/>
        <v>-4.9698886793600586E-2</v>
      </c>
      <c r="CY87" s="20">
        <f t="shared" ca="1" si="125"/>
        <v>-2.5602456833066969E-2</v>
      </c>
      <c r="CZ87" s="20">
        <f t="shared" ca="1" si="126"/>
        <v>-1.2998170392172461E-2</v>
      </c>
      <c r="DA87" s="21">
        <f t="shared" ca="1" si="127"/>
        <v>1.2998170392172461E-2</v>
      </c>
      <c r="DB87" s="21">
        <f t="shared" ca="1" si="128"/>
        <v>2.5602456833066969E-2</v>
      </c>
      <c r="DC87" s="21">
        <f t="shared" ca="1" si="129"/>
        <v>4.9698886793600586E-2</v>
      </c>
      <c r="DD87" s="21">
        <f t="shared" ca="1" si="130"/>
        <v>9.3875675054578889E-2</v>
      </c>
      <c r="DE87" s="21">
        <f t="shared" ca="1" si="131"/>
        <v>0.16897621509824198</v>
      </c>
      <c r="DF87" s="21">
        <f t="shared" ca="1" si="132"/>
        <v>0.28162702516373667</v>
      </c>
      <c r="DG87" s="21">
        <f t="shared" ca="1" si="133"/>
        <v>0.42244053774560497</v>
      </c>
      <c r="DI87" s="16" cm="1">
        <f t="array" aca="1" ref="DI87" ca="1">MAX(_xlfn._xlws.FILTER(CT87:DG87,CT87:DG87&lt;BR87))</f>
        <v>-1.2998170392172461E-2</v>
      </c>
      <c r="DJ87" s="16" cm="1">
        <f t="array" aca="1" ref="DJ87" ca="1">MIN(_xlfn._xlws.FILTER(CT87:DG87,CT87:DG87&gt;BR87))</f>
        <v>1.2998170392172461E-2</v>
      </c>
      <c r="DK87" s="2" cm="1">
        <f t="array" aca="1" ref="DK87" ca="1">_FV(EC87,"Fechamento anterior",TRUE)</f>
        <v>3.56</v>
      </c>
      <c r="DL87" s="28">
        <f t="shared" ca="1" si="106"/>
        <v>0.60805323669769995</v>
      </c>
      <c r="DM87" s="15">
        <f t="shared" ca="1" si="134"/>
        <v>3.5137265134038662</v>
      </c>
      <c r="DN87" s="15">
        <f t="shared" ca="1" si="135"/>
        <v>3.6062734865961339</v>
      </c>
      <c r="DO87" s="9"/>
      <c r="DP87" s="9"/>
      <c r="DQ87" s="9"/>
      <c r="DR87" s="89">
        <v>2.4358974358974363E-2</v>
      </c>
      <c r="DS87" s="89">
        <v>2.6266416510318951E-2</v>
      </c>
      <c r="DT87" s="89">
        <v>2.5996340784344922E-2</v>
      </c>
      <c r="DU87" s="89">
        <v>2.5996340784344922E-2</v>
      </c>
      <c r="DV87" s="89">
        <f t="shared" ca="1" si="107"/>
        <v>2.5996340784344922E-2</v>
      </c>
      <c r="DW87" s="72">
        <f t="shared" ca="1" si="108"/>
        <v>-0.16605944740424505</v>
      </c>
      <c r="DX87" s="37"/>
      <c r="DY87" s="35">
        <f t="shared" si="118"/>
        <v>0.31012990109880667</v>
      </c>
      <c r="DZ87" s="56"/>
      <c r="EA87" s="56"/>
      <c r="EC87" s="2" t="e" vm="87">
        <v>#VALUE!</v>
      </c>
      <c r="EE87" s="10" cm="1">
        <f t="array" aca="1" ref="EE87" ca="1">_FV(EC87,"Ações em circulação",TRUE)</f>
        <v>11109350</v>
      </c>
      <c r="EF87" s="18">
        <f>VLOOKUP(BM87,Fundamentus!A:U,5,FALSE)</f>
        <v>0.29399999999999998</v>
      </c>
      <c r="EG87" s="2">
        <f t="shared" ca="1" si="109"/>
        <v>134899250</v>
      </c>
      <c r="EH87" s="17">
        <v>-16498178.275</v>
      </c>
      <c r="EI87" s="17">
        <f t="shared" ca="1" si="110"/>
        <v>-16498178.275</v>
      </c>
      <c r="EK87" s="16">
        <f t="shared" ca="1" si="97"/>
        <v>0</v>
      </c>
      <c r="EL87" s="32" t="str">
        <f>IF(VLOOKUP(BM87,Fundamentus!A:U,3,FALSE)&lt;15,"Bom",IF(VLOOKUP(BM87,Fundamentus!A:U,3,FALSE)&gt;15,"Ruim","n/a"))</f>
        <v>Bom</v>
      </c>
      <c r="EM87" s="28" t="str">
        <f>IF(VLOOKUP(BM87,Fundamentus!A:U,4,FALSE)&lt;1,"Baixo",IF(VLOOKUP(BM87,Fundamentus!A:U,4,FALSE)&lt;1.5,"Moderado",IF(VLOOKUP(BM87,Fundamentus!A:U,4,FALSE)&gt;1.5,"Alto","n/a")))</f>
        <v>Baixo</v>
      </c>
      <c r="EN87" s="17" t="str">
        <f>IF(VLOOKUP(BM87,Fundamentus!A:U,8,FALSE)&lt;0,"Risco elevado",IF(VLOOKUP(BM87,Fundamentus!A:U,8,FALSE)&lt;1,"Saudável",IF(VLOOKUP(BM87,Fundamentus!A:U,8,FALSE)&lt;3,"Estável",IF(VLOOKUP(BM87,Fundamentus!A:U,8,FALSE)&gt;3,"Alerta","n/a"))))</f>
        <v>Saudável</v>
      </c>
      <c r="EO87" s="28" t="str">
        <f t="shared" si="111"/>
        <v>Ruim</v>
      </c>
      <c r="EP87" s="17" t="str">
        <f>IF(VLOOKUP(BM87,Fundamentus!A:U,12,FALSE)&lt;2,"Subvalorizada",IF(VLOOKUP(BM87,Fundamentus!A:U,12,FALSE)&lt;6,"Muita barata",IF(VLOOKUP(BM87,Fundamentus!A:U,12,FALSE)&lt;6,"Barata",IF(VLOOKUP(BM87,Fundamentus!A:U,12,FALSE)&lt;8,"Atrativa",IF(VLOOKUP(BM87,Fundamentus!A:U,12,FALSE)&gt;8,"Supervalorizada","n/a")))))</f>
        <v>Muita barata</v>
      </c>
      <c r="ER87" s="17" t="str">
        <f>IF(VLOOKUP(BM87,Fundamentus!A:U,17,FALSE)&lt;0.1,"Fraco retorno",IF(VLOOKUP(BM87,Fundamentus!A:U,17,FALSE)&gt;0.1,"Bom retorno","n/a"))</f>
        <v>Fraco retorno</v>
      </c>
      <c r="ES87" s="17" t="str">
        <f>IF(VLOOKUP(BM87,Fundamentus!A:U,16,FALSE)&lt;0.1,"Ineficiente",IF(VLOOKUP(BM87,Fundamentus!A:U,16,FALSE)&gt;0.1,"Eficiente","n/a"))</f>
        <v>Ineficiente</v>
      </c>
      <c r="ET87" s="33" t="str">
        <f>IF(VLOOKUP(BM87,Fundamentus!A:U,16,FALSE)&lt;0.1,"Oper. Ineficiente",IF(VLOOKUP(BM87,Fundamentus!A:U,16,FALSE)&gt;0.1,"Oper.Eficiente","n/a"))</f>
        <v>Oper. Ineficiente</v>
      </c>
      <c r="EU87" s="34">
        <f>VLOOKUP(BM87,Fundamentus!A:U,14,FALSE)</f>
        <v>-0.12230000000000001</v>
      </c>
      <c r="EV87" s="17" t="str">
        <f>IF(VLOOKUP(BM87,Fundamentus!A:U,21,FALSE)&lt;0,"Negativo",IF(VLOOKUP(BM87,Fundamentus!A:U,21,FALSE)&lt;0.05,"Fraco",IF(VLOOKUP(BM87,Fundamentus!A:U,21,FALSE)&lt;0.1,"Bom",IF(VLOOKUP(BM87,Fundamentus!A:U,21,FALSE)&gt;0.1,"Muito bom","n/a"))))</f>
        <v>Negativo</v>
      </c>
      <c r="EX87" s="29" t="str">
        <f>IF(VLOOKUP(BM87,Fundamentus!A:U,15,FALSE)&gt;1,"Bom",IF(VLOOKUP(BM87,Fundamentus!A:U,15,FALSE)&lt;1,"Ruim","n/a"))</f>
        <v>Bom</v>
      </c>
      <c r="EY87" s="17" t="str">
        <f>IF(VLOOKUP(BM87,Fundamentus!A:U,20,FALSE)&lt;0.5,"Baixa",IF(VLOOKUP(BM87,Fundamentus!A:U,20,FALSE)&lt;1,"Moderada",IF(VLOOKUP(BM87,Fundamentus!A:U,20,FALSE)&lt;2,"Alerta",IF(VLOOKUP(BM87,Fundamentus!A:U,20,FALSE)&gt;2,"Alta","n/a"))))</f>
        <v>Baixa</v>
      </c>
      <c r="EZ87" s="10"/>
    </row>
    <row r="88" spans="1:156" s="2" customFormat="1" ht="11.25" x14ac:dyDescent="0.2">
      <c r="A88" s="4">
        <v>34.4</v>
      </c>
      <c r="B88" s="4">
        <v>34.29</v>
      </c>
      <c r="C88" s="4">
        <v>35.57</v>
      </c>
      <c r="D88" s="4">
        <v>33.58</v>
      </c>
      <c r="E88" s="4">
        <v>31.25</v>
      </c>
      <c r="F88" s="4">
        <v>31.86</v>
      </c>
      <c r="G88" s="4">
        <v>30.51</v>
      </c>
      <c r="H88" s="4">
        <v>30.96</v>
      </c>
      <c r="I88" s="4">
        <v>29.34</v>
      </c>
      <c r="J88" s="4">
        <v>27.57</v>
      </c>
      <c r="K88" s="4">
        <v>28.4</v>
      </c>
      <c r="L88" s="4">
        <v>28.87</v>
      </c>
      <c r="M88" s="4">
        <v>27.83</v>
      </c>
      <c r="N88" s="4">
        <v>27.14</v>
      </c>
      <c r="O88" s="4">
        <v>29.53</v>
      </c>
      <c r="P88" s="4">
        <v>28.02</v>
      </c>
      <c r="Q88" s="4">
        <v>28.09</v>
      </c>
      <c r="R88" s="4">
        <v>27.16</v>
      </c>
      <c r="S88" s="4">
        <v>27.76</v>
      </c>
      <c r="T88" s="4">
        <v>27.35</v>
      </c>
      <c r="U88" s="4">
        <v>25.95</v>
      </c>
      <c r="V88" s="4">
        <v>24.95</v>
      </c>
      <c r="W88" s="4">
        <v>26.53</v>
      </c>
      <c r="X88" s="4">
        <v>25.29</v>
      </c>
      <c r="Y88" s="4">
        <v>24.92</v>
      </c>
      <c r="Z88" s="4">
        <v>24.6</v>
      </c>
      <c r="AA88" s="4">
        <v>25.5</v>
      </c>
      <c r="AB88" s="4">
        <v>24.79</v>
      </c>
      <c r="AC88" s="4">
        <v>25.4</v>
      </c>
      <c r="AD88" s="4">
        <v>23.79</v>
      </c>
      <c r="AE88" s="4">
        <v>22.42</v>
      </c>
      <c r="AF88" s="4">
        <v>21.67</v>
      </c>
      <c r="AG88" s="4">
        <v>21.22</v>
      </c>
      <c r="AH88" s="4">
        <v>20.52</v>
      </c>
      <c r="AI88" s="4">
        <v>20.16</v>
      </c>
      <c r="AJ88" s="4">
        <v>19.59</v>
      </c>
      <c r="AK88" s="4">
        <v>19.28</v>
      </c>
      <c r="AL88" s="4">
        <v>19.399999999999999</v>
      </c>
      <c r="AM88" s="4">
        <v>20.2</v>
      </c>
      <c r="AN88" s="4">
        <v>23.08</v>
      </c>
      <c r="AO88" s="4">
        <v>21.61</v>
      </c>
      <c r="AP88" s="4">
        <v>22.73</v>
      </c>
      <c r="AQ88" s="4">
        <v>23.69</v>
      </c>
      <c r="AR88" s="4">
        <v>22.46</v>
      </c>
      <c r="AS88" s="4">
        <v>23.7</v>
      </c>
      <c r="AT88" s="4">
        <v>23.29</v>
      </c>
      <c r="AU88" s="4">
        <v>23.815000000000001</v>
      </c>
      <c r="AV88" s="4">
        <v>22.41</v>
      </c>
      <c r="AW88" s="4">
        <v>23.81</v>
      </c>
      <c r="AX88" s="4">
        <v>23.89</v>
      </c>
      <c r="AY88" s="12">
        <v>25.18</v>
      </c>
      <c r="AZ88" s="12">
        <v>24.83</v>
      </c>
      <c r="BA88" s="12">
        <v>25.37</v>
      </c>
      <c r="BB88" s="15">
        <v>23.56</v>
      </c>
      <c r="BC88" s="52">
        <v>23.97</v>
      </c>
      <c r="BD88" s="52">
        <v>23.61</v>
      </c>
      <c r="BE88" s="52">
        <v>23.78</v>
      </c>
      <c r="BF88" s="52">
        <v>23.5</v>
      </c>
      <c r="BG88" s="67">
        <v>23.11</v>
      </c>
      <c r="BH88" s="52">
        <v>23.33</v>
      </c>
      <c r="BI88" s="52">
        <v>23.9</v>
      </c>
      <c r="BJ88" s="52">
        <v>24.44</v>
      </c>
      <c r="BK88" s="52">
        <v>26.75</v>
      </c>
      <c r="BL88" s="52" cm="1">
        <f t="array" aca="1" ref="BL88" ca="1">_FV(EC88,"Preço")</f>
        <v>26.75</v>
      </c>
      <c r="BM88" s="66" t="s">
        <v>85</v>
      </c>
      <c r="BN88" s="36" cm="1">
        <f t="array" aca="1" ref="BN88" ca="1">_FV(EC88,"Média de volume",TRUE)</f>
        <v>871450</v>
      </c>
      <c r="BO88" s="36">
        <v>1197400</v>
      </c>
      <c r="BP88" s="36" cm="1">
        <f t="array" aca="1" ref="BP88" ca="1">_FV(EC88,"Volume")</f>
        <v>1197400</v>
      </c>
      <c r="BQ88" s="24" cm="1">
        <f t="array" aca="1" ref="BQ88" ca="1">_FV(EC88,"Beta")</f>
        <v>0.90690000000000004</v>
      </c>
      <c r="BR88" s="71" cm="1">
        <f t="array" aca="1" ref="BR88" ca="1">_FV(EC88,"Variação (%)",TRUE)</f>
        <v>-1.1821E-2</v>
      </c>
      <c r="BT88" s="17" cm="1">
        <f t="array" aca="1" ref="BT88" ca="1">_FV(EC88,"Baixo")</f>
        <v>25.97</v>
      </c>
      <c r="BU88" s="17" cm="1">
        <f t="array" aca="1" ref="BU88" ca="1">_FV(EC88,"Alto")</f>
        <v>27.26</v>
      </c>
      <c r="BV88" s="24"/>
      <c r="BW88" s="63">
        <f ca="1">SQRT(22.5*(BL88/VLOOKUP(BM88,Fundamentus!A:U,3,FALSE))*(BL88/VLOOKUP(BM88,Fundamentus!A:U,4,FALSE)))</f>
        <v>34.280600572814187</v>
      </c>
      <c r="BY88" s="62">
        <f t="shared" ca="1" si="112"/>
        <v>0</v>
      </c>
      <c r="BZ88" s="8"/>
      <c r="CA88" s="61">
        <f t="shared" si="113"/>
        <v>19.28</v>
      </c>
      <c r="CB88" s="61">
        <f t="shared" si="114"/>
        <v>35.57</v>
      </c>
      <c r="CC88" s="61">
        <f t="shared" si="115"/>
        <v>25.48373015873015</v>
      </c>
      <c r="CD88" s="14"/>
      <c r="CE88" s="35">
        <f t="shared" si="98"/>
        <v>22.684609335445984</v>
      </c>
      <c r="CF88" s="15">
        <f t="shared" si="116"/>
        <v>25.144999999999527</v>
      </c>
      <c r="CG88" s="35">
        <f t="shared" si="99"/>
        <v>27.60539066455307</v>
      </c>
      <c r="CI88" s="14"/>
      <c r="CJ88" s="17">
        <f t="shared" si="100"/>
        <v>1.0000000000000071</v>
      </c>
      <c r="CK88" s="17">
        <f t="shared" si="101"/>
        <v>10.140000000000004</v>
      </c>
      <c r="CL88" s="17">
        <f t="shared" si="102"/>
        <v>17.290000000000006</v>
      </c>
      <c r="CM88" s="38">
        <f t="shared" si="117"/>
        <v>26.430000000000003</v>
      </c>
      <c r="CN88" s="17">
        <f t="shared" si="103"/>
        <v>33.580000000000005</v>
      </c>
      <c r="CO88" s="17">
        <f t="shared" si="104"/>
        <v>42.72</v>
      </c>
      <c r="CP88" s="17">
        <f t="shared" si="105"/>
        <v>49.870000000000005</v>
      </c>
      <c r="CQ88" s="2" cm="1">
        <f t="array" aca="1" ref="CQ88" ca="1">MAX(_xlfn._xlws.FILTER(CJ88:CP88,CJ88:CP88&lt;BL88))</f>
        <v>26.430000000000003</v>
      </c>
      <c r="CR88" s="2" cm="1">
        <f t="array" aca="1" ref="CR88" ca="1">MIN(_xlfn._xlws.FILTER($CJ88:$CP88,$CJ88:$CP88&gt;BL88))</f>
        <v>33.580000000000005</v>
      </c>
      <c r="CS88" s="16">
        <f t="shared" ca="1" si="119"/>
        <v>0.27052591751797195</v>
      </c>
      <c r="CT88" s="20">
        <f t="shared" ca="1" si="120"/>
        <v>-0.13526295875898597</v>
      </c>
      <c r="CU88" s="20">
        <f t="shared" ca="1" si="121"/>
        <v>-9.0175305839323983E-2</v>
      </c>
      <c r="CV88" s="20">
        <f t="shared" ca="1" si="122"/>
        <v>-5.410518350359439E-2</v>
      </c>
      <c r="CW88" s="20">
        <f t="shared" ca="1" si="123"/>
        <v>-3.005843527977466E-2</v>
      </c>
      <c r="CX88" s="20">
        <f t="shared" ca="1" si="124"/>
        <v>-1.5913289265763055E-2</v>
      </c>
      <c r="CY88" s="20">
        <f t="shared" ca="1" si="125"/>
        <v>-8.1977550763021809E-3</v>
      </c>
      <c r="CZ88" s="20">
        <f t="shared" ca="1" si="126"/>
        <v>-4.1619371925841839E-3</v>
      </c>
      <c r="DA88" s="21">
        <f t="shared" ca="1" si="127"/>
        <v>4.1619371925841839E-3</v>
      </c>
      <c r="DB88" s="21">
        <f t="shared" ca="1" si="128"/>
        <v>8.1977550763021809E-3</v>
      </c>
      <c r="DC88" s="21">
        <f t="shared" ca="1" si="129"/>
        <v>1.5913289265763055E-2</v>
      </c>
      <c r="DD88" s="21">
        <f t="shared" ca="1" si="130"/>
        <v>3.005843527977466E-2</v>
      </c>
      <c r="DE88" s="21">
        <f t="shared" ca="1" si="131"/>
        <v>5.410518350359439E-2</v>
      </c>
      <c r="DF88" s="21">
        <f t="shared" ca="1" si="132"/>
        <v>9.0175305839323983E-2</v>
      </c>
      <c r="DG88" s="21">
        <f t="shared" ca="1" si="133"/>
        <v>0.13526295875898597</v>
      </c>
      <c r="DI88" s="16" cm="1">
        <f t="array" aca="1" ref="DI88" ca="1">MAX(_xlfn._xlws.FILTER(CT88:DG88,CT88:DG88&lt;BR88))</f>
        <v>-1.5913289265763055E-2</v>
      </c>
      <c r="DJ88" s="16" cm="1">
        <f t="array" aca="1" ref="DJ88" ca="1">MIN(_xlfn._xlws.FILTER(CT88:DG88,CT88:DG88&gt;BR88))</f>
        <v>-8.1977550763021809E-3</v>
      </c>
      <c r="DK88" s="2" cm="1">
        <f t="array" aca="1" ref="DK88" ca="1">_FV(EC88,"Fechamento anterior",TRUE)</f>
        <v>27.07</v>
      </c>
      <c r="DL88" s="28">
        <f t="shared" ca="1" si="106"/>
        <v>0.53036962575658686</v>
      </c>
      <c r="DM88" s="15">
        <f t="shared" ca="1" si="134"/>
        <v>26.639227259575794</v>
      </c>
      <c r="DN88" s="15">
        <f t="shared" ca="1" si="135"/>
        <v>26.8480867700845</v>
      </c>
      <c r="DO88" s="9"/>
      <c r="DP88" s="9"/>
      <c r="DQ88" s="9"/>
      <c r="DR88" s="89">
        <v>2.3934163904446221E-2</v>
      </c>
      <c r="DS88" s="89">
        <v>8.7157981894823953E-3</v>
      </c>
      <c r="DT88" s="89">
        <v>7.8863107203188121E-3</v>
      </c>
      <c r="DU88" s="89">
        <v>7.7155341894608737E-3</v>
      </c>
      <c r="DV88" s="89">
        <f t="shared" ca="1" si="107"/>
        <v>7.7155341894608737E-3</v>
      </c>
      <c r="DW88" s="72">
        <f t="shared" ca="1" si="108"/>
        <v>0.65233542913467057</v>
      </c>
      <c r="DX88" s="37"/>
      <c r="DY88" s="35">
        <f t="shared" si="118"/>
        <v>1.2301953322767716</v>
      </c>
      <c r="DZ88" s="56"/>
      <c r="EA88" s="56"/>
      <c r="EC88" s="2" t="e" vm="88">
        <v>#VALUE!</v>
      </c>
      <c r="EE88" s="10" cm="1">
        <f t="array" aca="1" ref="EE88" ca="1">_FV(EC88,"Ações em circulação",TRUE)</f>
        <v>339000000</v>
      </c>
      <c r="EF88" s="18">
        <f>VLOOKUP(BM88,Fundamentus!A:U,5,FALSE)</f>
        <v>0.80500000000000005</v>
      </c>
      <c r="EG88" s="2">
        <f t="shared" ca="1" si="109"/>
        <v>11264906832.298136</v>
      </c>
      <c r="EH88" s="17">
        <v>648858633.54037261</v>
      </c>
      <c r="EI88" s="17">
        <f t="shared" ca="1" si="110"/>
        <v>648858633.54037261</v>
      </c>
      <c r="EK88" s="16">
        <f t="shared" ca="1" si="97"/>
        <v>0</v>
      </c>
      <c r="EL88" s="32" t="str">
        <f>IF(VLOOKUP(BM88,Fundamentus!A:U,3,FALSE)&lt;15,"Bom",IF(VLOOKUP(BM88,Fundamentus!A:U,3,FALSE)&gt;15,"Ruim","n/a"))</f>
        <v>Bom</v>
      </c>
      <c r="EM88" s="28" t="str">
        <f>IF(VLOOKUP(BM88,Fundamentus!A:U,4,FALSE)&lt;1,"Baixo",IF(VLOOKUP(BM88,Fundamentus!A:U,4,FALSE)&lt;1.5,"Moderado",IF(VLOOKUP(BM88,Fundamentus!A:U,4,FALSE)&gt;1.5,"Alto","n/a")))</f>
        <v>Baixo</v>
      </c>
      <c r="EN88" s="17" t="str">
        <f>IF(VLOOKUP(BM88,Fundamentus!A:U,8,FALSE)&lt;0,"Risco elevado",IF(VLOOKUP(BM88,Fundamentus!A:U,8,FALSE)&lt;1,"Saudável",IF(VLOOKUP(BM88,Fundamentus!A:U,8,FALSE)&lt;3,"Estável",IF(VLOOKUP(BM88,Fundamentus!A:U,8,FALSE)&gt;3,"Alerta","n/a"))))</f>
        <v>Estável</v>
      </c>
      <c r="EO88" s="28" t="str">
        <f t="shared" si="111"/>
        <v>Ruim</v>
      </c>
      <c r="EP88" s="17" t="str">
        <f>IF(VLOOKUP(BM88,Fundamentus!A:U,12,FALSE)&lt;2,"Subvalorizada",IF(VLOOKUP(BM88,Fundamentus!A:U,12,FALSE)&lt;6,"Muita barata",IF(VLOOKUP(BM88,Fundamentus!A:U,12,FALSE)&lt;6,"Barata",IF(VLOOKUP(BM88,Fundamentus!A:U,12,FALSE)&lt;8,"Atrativa",IF(VLOOKUP(BM88,Fundamentus!A:U,12,FALSE)&gt;8,"Supervalorizada","n/a")))))</f>
        <v>Atrativa</v>
      </c>
      <c r="ER88" s="17" t="str">
        <f>IF(VLOOKUP(BM88,Fundamentus!A:U,17,FALSE)&lt;0.1,"Fraco retorno",IF(VLOOKUP(BM88,Fundamentus!A:U,17,FALSE)&gt;0.1,"Bom retorno","n/a"))</f>
        <v>Fraco retorno</v>
      </c>
      <c r="ES88" s="17" t="str">
        <f>IF(VLOOKUP(BM88,Fundamentus!A:U,16,FALSE)&lt;0.1,"Ineficiente",IF(VLOOKUP(BM88,Fundamentus!A:U,16,FALSE)&gt;0.1,"Eficiente","n/a"))</f>
        <v>Ineficiente</v>
      </c>
      <c r="ET88" s="33" t="str">
        <f>IF(VLOOKUP(BM88,Fundamentus!A:U,16,FALSE)&lt;0.1,"Oper. Ineficiente",IF(VLOOKUP(BM88,Fundamentus!A:U,16,FALSE)&gt;0.1,"Oper.Eficiente","n/a"))</f>
        <v>Oper. Ineficiente</v>
      </c>
      <c r="EU88" s="34">
        <f>VLOOKUP(BM88,Fundamentus!A:U,14,FALSE)</f>
        <v>5.7599999999999998E-2</v>
      </c>
      <c r="EV88" s="17" t="str">
        <f>IF(VLOOKUP(BM88,Fundamentus!A:U,21,FALSE)&lt;0,"Negativo",IF(VLOOKUP(BM88,Fundamentus!A:U,21,FALSE)&lt;0.05,"Fraco",IF(VLOOKUP(BM88,Fundamentus!A:U,21,FALSE)&lt;0.1,"Bom",IF(VLOOKUP(BM88,Fundamentus!A:U,21,FALSE)&gt;0.1,"Muito bom","n/a"))))</f>
        <v>Bom</v>
      </c>
      <c r="EX88" s="29" t="str">
        <f>IF(VLOOKUP(BM88,Fundamentus!A:U,15,FALSE)&gt;1,"Bom",IF(VLOOKUP(BM88,Fundamentus!A:U,15,FALSE)&lt;1,"Ruim","n/a"))</f>
        <v>Bom</v>
      </c>
      <c r="EY88" s="17" t="str">
        <f>IF(VLOOKUP(BM88,Fundamentus!A:U,20,FALSE)&lt;0.5,"Baixa",IF(VLOOKUP(BM88,Fundamentus!A:U,20,FALSE)&lt;1,"Moderada",IF(VLOOKUP(BM88,Fundamentus!A:U,20,FALSE)&lt;2,"Alerta",IF(VLOOKUP(BM88,Fundamentus!A:U,20,FALSE)&gt;2,"Alta","n/a"))))</f>
        <v>Baixa</v>
      </c>
      <c r="EZ88" s="10"/>
    </row>
    <row r="89" spans="1:156" s="2" customFormat="1" ht="11.25" x14ac:dyDescent="0.2">
      <c r="A89" s="4">
        <v>13.78</v>
      </c>
      <c r="B89" s="4">
        <v>13.45</v>
      </c>
      <c r="C89" s="4">
        <v>13.43</v>
      </c>
      <c r="D89" s="4">
        <v>12.94</v>
      </c>
      <c r="E89" s="4">
        <v>12.69</v>
      </c>
      <c r="F89" s="4">
        <v>12.95</v>
      </c>
      <c r="G89" s="4">
        <v>12.83</v>
      </c>
      <c r="H89" s="4">
        <v>12.4</v>
      </c>
      <c r="I89" s="4">
        <v>12.38</v>
      </c>
      <c r="J89" s="4">
        <v>12.46</v>
      </c>
      <c r="K89" s="4">
        <v>12.64</v>
      </c>
      <c r="L89" s="4">
        <v>12.49</v>
      </c>
      <c r="M89" s="4">
        <v>12.45</v>
      </c>
      <c r="N89" s="4">
        <v>12.65</v>
      </c>
      <c r="O89" s="4">
        <v>14.6</v>
      </c>
      <c r="P89" s="4">
        <v>14.86</v>
      </c>
      <c r="Q89" s="4">
        <v>15.66</v>
      </c>
      <c r="R89" s="4">
        <v>15.64</v>
      </c>
      <c r="S89" s="4">
        <v>15.7</v>
      </c>
      <c r="T89" s="4">
        <v>15.55</v>
      </c>
      <c r="U89" s="4">
        <v>14.75</v>
      </c>
      <c r="V89" s="4">
        <v>14.94</v>
      </c>
      <c r="W89" s="4">
        <v>15.06</v>
      </c>
      <c r="X89" s="4">
        <v>14.8</v>
      </c>
      <c r="Y89" s="4">
        <v>15.15</v>
      </c>
      <c r="Z89" s="4">
        <v>14.93</v>
      </c>
      <c r="AA89" s="4">
        <v>14.11</v>
      </c>
      <c r="AB89" s="4">
        <v>13.54</v>
      </c>
      <c r="AC89" s="4">
        <v>13.53</v>
      </c>
      <c r="AD89" s="4">
        <v>13.8</v>
      </c>
      <c r="AE89" s="4">
        <v>12.63</v>
      </c>
      <c r="AF89" s="4">
        <v>12.32</v>
      </c>
      <c r="AG89" s="4">
        <v>12.1</v>
      </c>
      <c r="AH89" s="4">
        <v>11.55</v>
      </c>
      <c r="AI89" s="4">
        <v>11.55</v>
      </c>
      <c r="AJ89" s="4">
        <v>11.2</v>
      </c>
      <c r="AK89" s="4">
        <v>11.18</v>
      </c>
      <c r="AL89" s="4">
        <v>11.59</v>
      </c>
      <c r="AM89" s="4">
        <v>11.3</v>
      </c>
      <c r="AN89" s="4">
        <v>12.09</v>
      </c>
      <c r="AO89" s="4">
        <v>11.99</v>
      </c>
      <c r="AP89" s="4">
        <v>12.19</v>
      </c>
      <c r="AQ89" s="4">
        <v>11.84</v>
      </c>
      <c r="AR89" s="4">
        <v>11.24</v>
      </c>
      <c r="AS89" s="4">
        <v>11.69</v>
      </c>
      <c r="AT89" s="4">
        <v>12.13</v>
      </c>
      <c r="AU89" s="4">
        <v>12.475</v>
      </c>
      <c r="AV89" s="4">
        <v>12.84</v>
      </c>
      <c r="AW89" s="4">
        <v>12.57</v>
      </c>
      <c r="AX89" s="4">
        <v>12.62</v>
      </c>
      <c r="AY89" s="12">
        <v>12.78</v>
      </c>
      <c r="AZ89" s="12">
        <v>13.38</v>
      </c>
      <c r="BA89" s="12">
        <v>13.73</v>
      </c>
      <c r="BB89" s="15">
        <v>15.08</v>
      </c>
      <c r="BC89" s="52">
        <v>15.35</v>
      </c>
      <c r="BD89" s="52">
        <v>15.64</v>
      </c>
      <c r="BE89" s="52">
        <v>16.2</v>
      </c>
      <c r="BF89" s="52">
        <v>15.96</v>
      </c>
      <c r="BG89" s="67">
        <v>16.29</v>
      </c>
      <c r="BH89" s="52">
        <v>16.62</v>
      </c>
      <c r="BI89" s="52">
        <v>16.57</v>
      </c>
      <c r="BJ89" s="52">
        <v>16.670000000000002</v>
      </c>
      <c r="BK89" s="52">
        <v>16.05</v>
      </c>
      <c r="BL89" s="52" cm="1">
        <f t="array" aca="1" ref="BL89" ca="1">_FV(EC89,"Preço")</f>
        <v>16.05</v>
      </c>
      <c r="BM89" s="69" t="s">
        <v>110</v>
      </c>
      <c r="BN89" s="36" cm="1">
        <f t="array" aca="1" ref="BN89" ca="1">_FV(EC89,"Média de volume",TRUE)</f>
        <v>24590720</v>
      </c>
      <c r="BO89" s="36">
        <v>20924800</v>
      </c>
      <c r="BP89" s="36" cm="1">
        <f t="array" aca="1" ref="BP89" ca="1">_FV(EC89,"Volume")</f>
        <v>20924800</v>
      </c>
      <c r="BQ89" s="24" cm="1">
        <f t="array" aca="1" ref="BQ89" ca="1">_FV(EC89,"Beta")</f>
        <v>1.506</v>
      </c>
      <c r="BR89" s="71" cm="1">
        <f t="array" aca="1" ref="BR89" ca="1">_FV(EC89,"Variação (%)",TRUE)</f>
        <v>-5.5760000000000002E-3</v>
      </c>
      <c r="BT89" s="17" cm="1">
        <f t="array" aca="1" ref="BT89" ca="1">_FV(EC89,"Baixo")</f>
        <v>15.92</v>
      </c>
      <c r="BU89" s="17" cm="1">
        <f t="array" aca="1" ref="BU89" ca="1">_FV(EC89,"Alto")</f>
        <v>16.11</v>
      </c>
      <c r="BV89" s="24"/>
      <c r="BW89" s="63">
        <f ca="1">SQRT(22.5*(BL89/VLOOKUP(BM89,Fundamentus!A:U,3,FALSE))*(BL89/VLOOKUP(BM89,Fundamentus!A:U,4,FALSE)))</f>
        <v>25.726968865954746</v>
      </c>
      <c r="BY89" s="62">
        <f t="shared" ca="1" si="112"/>
        <v>0</v>
      </c>
      <c r="BZ89" s="8"/>
      <c r="CA89" s="61">
        <f t="shared" si="113"/>
        <v>11.18</v>
      </c>
      <c r="CB89" s="61">
        <f t="shared" si="114"/>
        <v>16.670000000000002</v>
      </c>
      <c r="CC89" s="61">
        <f t="shared" si="115"/>
        <v>13.580555555555561</v>
      </c>
      <c r="CD89" s="14"/>
      <c r="CE89" s="35">
        <f t="shared" si="98"/>
        <v>15.83795319218029</v>
      </c>
      <c r="CF89" s="15">
        <f t="shared" si="116"/>
        <v>16.396999999999935</v>
      </c>
      <c r="CG89" s="35">
        <f t="shared" si="99"/>
        <v>16.956046807819579</v>
      </c>
      <c r="CI89" s="14"/>
      <c r="CJ89" s="17">
        <f t="shared" si="100"/>
        <v>7.52</v>
      </c>
      <c r="CK89" s="17">
        <f t="shared" si="101"/>
        <v>9.35</v>
      </c>
      <c r="CL89" s="17">
        <f t="shared" si="102"/>
        <v>13.010000000000002</v>
      </c>
      <c r="CM89" s="38">
        <f t="shared" si="117"/>
        <v>14.840000000000002</v>
      </c>
      <c r="CN89" s="17">
        <f t="shared" si="103"/>
        <v>18.500000000000004</v>
      </c>
      <c r="CO89" s="17">
        <f t="shared" si="104"/>
        <v>20.330000000000005</v>
      </c>
      <c r="CP89" s="17">
        <f t="shared" si="105"/>
        <v>23.990000000000006</v>
      </c>
      <c r="CQ89" s="2" cm="1">
        <f t="array" aca="1" ref="CQ89" ca="1">MAX(_xlfn._xlws.FILTER(CJ89:CP89,CJ89:CP89&lt;BL89))</f>
        <v>14.840000000000002</v>
      </c>
      <c r="CR89" s="2" cm="1">
        <f t="array" aca="1" ref="CR89" ca="1">MIN(_xlfn._xlws.FILTER($CJ89:$CP89,$CJ89:$CP89&gt;BL89))</f>
        <v>18.500000000000004</v>
      </c>
      <c r="CS89" s="16">
        <f t="shared" ca="1" si="119"/>
        <v>0.24663072776280326</v>
      </c>
      <c r="CT89" s="20">
        <f t="shared" ca="1" si="120"/>
        <v>-0.12331536388140163</v>
      </c>
      <c r="CU89" s="20">
        <f t="shared" ca="1" si="121"/>
        <v>-8.2210242587601082E-2</v>
      </c>
      <c r="CV89" s="20">
        <f t="shared" ca="1" si="122"/>
        <v>-4.9326145552560652E-2</v>
      </c>
      <c r="CW89" s="20">
        <f t="shared" ca="1" si="123"/>
        <v>-2.7403414195867028E-2</v>
      </c>
      <c r="CX89" s="20">
        <f t="shared" ca="1" si="124"/>
        <v>-1.4507689868400191E-2</v>
      </c>
      <c r="CY89" s="20">
        <f t="shared" ca="1" si="125"/>
        <v>-7.4736584170546445E-3</v>
      </c>
      <c r="CZ89" s="20">
        <f t="shared" ca="1" si="126"/>
        <v>-3.7943188886585119E-3</v>
      </c>
      <c r="DA89" s="21">
        <f t="shared" ca="1" si="127"/>
        <v>3.7943188886585119E-3</v>
      </c>
      <c r="DB89" s="21">
        <f t="shared" ca="1" si="128"/>
        <v>7.4736584170546445E-3</v>
      </c>
      <c r="DC89" s="21">
        <f t="shared" ca="1" si="129"/>
        <v>1.4507689868400191E-2</v>
      </c>
      <c r="DD89" s="21">
        <f t="shared" ca="1" si="130"/>
        <v>2.7403414195867028E-2</v>
      </c>
      <c r="DE89" s="21">
        <f t="shared" ca="1" si="131"/>
        <v>4.9326145552560652E-2</v>
      </c>
      <c r="DF89" s="21">
        <f t="shared" ca="1" si="132"/>
        <v>8.2210242587601082E-2</v>
      </c>
      <c r="DG89" s="21">
        <f t="shared" ca="1" si="133"/>
        <v>0.12331536388140163</v>
      </c>
      <c r="DI89" s="16" cm="1">
        <f t="array" aca="1" ref="DI89" ca="1">MAX(_xlfn._xlws.FILTER(CT89:DG89,CT89:DG89&lt;BR89))</f>
        <v>-7.4736584170546445E-3</v>
      </c>
      <c r="DJ89" s="16" cm="1">
        <f t="array" aca="1" ref="DJ89" ca="1">MIN(_xlfn._xlws.FILTER(CT89:DG89,CT89:DG89&gt;BR89))</f>
        <v>-3.7943188886585119E-3</v>
      </c>
      <c r="DK89" s="2" cm="1">
        <f t="array" aca="1" ref="DK89" ca="1">_FV(EC89,"Fechamento anterior",TRUE)</f>
        <v>16.14</v>
      </c>
      <c r="DL89" s="28">
        <f t="shared" ca="1" si="106"/>
        <v>0.5157040343713778</v>
      </c>
      <c r="DM89" s="15">
        <f t="shared" ca="1" si="134"/>
        <v>16.01937515314874</v>
      </c>
      <c r="DN89" s="15">
        <f t="shared" ca="1" si="135"/>
        <v>16.078759693137052</v>
      </c>
      <c r="DO89" s="9"/>
      <c r="DP89" s="9"/>
      <c r="DQ89" s="9"/>
      <c r="DR89" s="89">
        <v>5.6963444718546767E-3</v>
      </c>
      <c r="DS89" s="89">
        <v>6.6608661081184999E-3</v>
      </c>
      <c r="DT89" s="89">
        <v>3.6793395283961326E-3</v>
      </c>
      <c r="DU89" s="89">
        <v>3.6793395283961326E-3</v>
      </c>
      <c r="DV89" s="89">
        <f t="shared" ca="1" si="107"/>
        <v>3.6793395283961326E-3</v>
      </c>
      <c r="DW89" s="72">
        <f t="shared" ca="1" si="108"/>
        <v>-0.62069936747028231</v>
      </c>
      <c r="DX89" s="37"/>
      <c r="DY89" s="35">
        <f t="shared" si="118"/>
        <v>0.27952340390982189</v>
      </c>
      <c r="DZ89" s="56"/>
      <c r="EA89" s="56"/>
      <c r="EC89" s="2" t="e" vm="89">
        <v>#VALUE!</v>
      </c>
      <c r="EE89" s="10" cm="1">
        <f t="array" aca="1" ref="EE89" ca="1">_FV(EC89,"Ações em circulação",TRUE)</f>
        <v>10592010000</v>
      </c>
      <c r="EF89" s="18">
        <f>VLOOKUP(BM89,Fundamentus!A:U,5,FALSE)</f>
        <v>0</v>
      </c>
      <c r="EG89" s="2" t="e">
        <f t="shared" ca="1" si="109"/>
        <v>#DIV/0!</v>
      </c>
      <c r="EH89" s="17" t="e">
        <v>#DIV/0!</v>
      </c>
      <c r="EI89" s="17" t="e">
        <f t="shared" ca="1" si="110"/>
        <v>#DIV/0!</v>
      </c>
      <c r="EK89" s="16" t="e">
        <f t="shared" ca="1" si="97"/>
        <v>#DIV/0!</v>
      </c>
      <c r="EL89" s="32" t="str">
        <f>IF(VLOOKUP(BM89,Fundamentus!A:U,3,FALSE)&lt;15,"Bom",IF(VLOOKUP(BM89,Fundamentus!A:U,3,FALSE)&gt;15,"Ruim","n/a"))</f>
        <v>Bom</v>
      </c>
      <c r="EM89" s="28" t="str">
        <f>IF(VLOOKUP(BM89,Fundamentus!A:U,4,FALSE)&lt;1,"Baixo",IF(VLOOKUP(BM89,Fundamentus!A:U,4,FALSE)&lt;1.5,"Moderado",IF(VLOOKUP(BM89,Fundamentus!A:U,4,FALSE)&gt;1.5,"Alto","n/a")))</f>
        <v>Moderado</v>
      </c>
      <c r="EN89" s="17" t="str">
        <f>IF(VLOOKUP(BM89,Fundamentus!A:U,8,FALSE)&lt;0,"Risco elevado",IF(VLOOKUP(BM89,Fundamentus!A:U,8,FALSE)&lt;1,"Saudável",IF(VLOOKUP(BM89,Fundamentus!A:U,8,FALSE)&lt;3,"Estável",IF(VLOOKUP(BM89,Fundamentus!A:U,8,FALSE)&gt;3,"Alerta","n/a"))))</f>
        <v>Saudável</v>
      </c>
      <c r="EO89" s="28" t="str">
        <f t="shared" si="111"/>
        <v>Ruim</v>
      </c>
      <c r="EP89" s="17" t="str">
        <f>IF(VLOOKUP(BM89,Fundamentus!A:U,12,FALSE)&lt;2,"Subvalorizada",IF(VLOOKUP(BM89,Fundamentus!A:U,12,FALSE)&lt;6,"Muita barata",IF(VLOOKUP(BM89,Fundamentus!A:U,12,FALSE)&lt;6,"Barata",IF(VLOOKUP(BM89,Fundamentus!A:U,12,FALSE)&lt;8,"Atrativa",IF(VLOOKUP(BM89,Fundamentus!A:U,12,FALSE)&gt;8,"Supervalorizada","n/a")))))</f>
        <v>Subvalorizada</v>
      </c>
      <c r="ER89" s="17" t="str">
        <f>IF(VLOOKUP(BM89,Fundamentus!A:U,17,FALSE)&lt;0.1,"Fraco retorno",IF(VLOOKUP(BM89,Fundamentus!A:U,17,FALSE)&gt;0.1,"Bom retorno","n/a"))</f>
        <v>Bom retorno</v>
      </c>
      <c r="ES89" s="17" t="str">
        <f>IF(VLOOKUP(BM89,Fundamentus!A:U,16,FALSE)&lt;0.1,"Ineficiente",IF(VLOOKUP(BM89,Fundamentus!A:U,16,FALSE)&gt;0.1,"Eficiente","n/a"))</f>
        <v>Ineficiente</v>
      </c>
      <c r="ET89" s="33" t="str">
        <f>IF(VLOOKUP(BM89,Fundamentus!A:U,16,FALSE)&lt;0.1,"Oper. Ineficiente",IF(VLOOKUP(BM89,Fundamentus!A:U,16,FALSE)&gt;0.1,"Oper.Eficiente","n/a"))</f>
        <v>Oper. Ineficiente</v>
      </c>
      <c r="EU89" s="34">
        <f>VLOOKUP(BM89,Fundamentus!A:U,14,FALSE)</f>
        <v>0</v>
      </c>
      <c r="EV89" s="17" t="str">
        <f>IF(VLOOKUP(BM89,Fundamentus!A:U,21,FALSE)&lt;0,"Negativo",IF(VLOOKUP(BM89,Fundamentus!A:U,21,FALSE)&lt;0.05,"Fraco",IF(VLOOKUP(BM89,Fundamentus!A:U,21,FALSE)&lt;0.1,"Bom",IF(VLOOKUP(BM89,Fundamentus!A:U,21,FALSE)&gt;0.1,"Muito bom","n/a"))))</f>
        <v>Negativo</v>
      </c>
      <c r="EX89" s="29" t="str">
        <f>IF(VLOOKUP(BM89,Fundamentus!A:U,15,FALSE)&gt;1,"Bom",IF(VLOOKUP(BM89,Fundamentus!A:U,15,FALSE)&lt;1,"Ruim","n/a"))</f>
        <v>Ruim</v>
      </c>
      <c r="EY89" s="17" t="str">
        <f>IF(VLOOKUP(BM89,Fundamentus!A:U,20,FALSE)&lt;0.5,"Baixa",IF(VLOOKUP(BM89,Fundamentus!A:U,20,FALSE)&lt;1,"Moderada",IF(VLOOKUP(BM89,Fundamentus!A:U,20,FALSE)&lt;2,"Alerta",IF(VLOOKUP(BM89,Fundamentus!A:U,20,FALSE)&gt;2,"Alta","n/a"))))</f>
        <v>Baixa</v>
      </c>
      <c r="EZ89" s="10">
        <v>2</v>
      </c>
    </row>
    <row r="90" spans="1:156" s="2" customFormat="1" ht="11.25" x14ac:dyDescent="0.2">
      <c r="A90" s="4">
        <v>29.94</v>
      </c>
      <c r="B90" s="4">
        <v>28.77</v>
      </c>
      <c r="C90" s="4">
        <v>31.33</v>
      </c>
      <c r="D90" s="4">
        <v>30.45</v>
      </c>
      <c r="E90" s="4">
        <v>30.39</v>
      </c>
      <c r="F90" s="4">
        <v>29.92</v>
      </c>
      <c r="G90" s="4">
        <v>29.63</v>
      </c>
      <c r="H90" s="4">
        <v>29.75</v>
      </c>
      <c r="I90" s="4">
        <v>30.89</v>
      </c>
      <c r="J90" s="4">
        <v>29.9</v>
      </c>
      <c r="K90" s="4">
        <v>30.7</v>
      </c>
      <c r="L90" s="4">
        <v>30.31</v>
      </c>
      <c r="M90" s="4">
        <v>30.21</v>
      </c>
      <c r="N90" s="4">
        <v>30.76</v>
      </c>
      <c r="O90" s="4">
        <v>31.18</v>
      </c>
      <c r="P90" s="4">
        <v>32.75</v>
      </c>
      <c r="Q90" s="4">
        <v>34.14</v>
      </c>
      <c r="R90" s="4">
        <v>34.06</v>
      </c>
      <c r="S90" s="4">
        <v>34.54</v>
      </c>
      <c r="T90" s="4">
        <v>34.909999999999997</v>
      </c>
      <c r="U90" s="4">
        <v>35.57</v>
      </c>
      <c r="V90" s="4">
        <v>36.450000000000003</v>
      </c>
      <c r="W90" s="4">
        <v>37.5</v>
      </c>
      <c r="X90" s="4">
        <v>36.26</v>
      </c>
      <c r="Y90" s="4">
        <v>37.22</v>
      </c>
      <c r="Z90" s="4">
        <v>38.340000000000003</v>
      </c>
      <c r="AA90" s="4">
        <v>38</v>
      </c>
      <c r="AB90" s="4">
        <v>38.58</v>
      </c>
      <c r="AC90" s="4">
        <v>38.58</v>
      </c>
      <c r="AD90" s="4">
        <v>38.549999999999997</v>
      </c>
      <c r="AE90" s="4">
        <v>37.840000000000003</v>
      </c>
      <c r="AF90" s="4">
        <v>39.200000000000003</v>
      </c>
      <c r="AG90" s="4">
        <v>38.65</v>
      </c>
      <c r="AH90" s="4">
        <v>37.14</v>
      </c>
      <c r="AI90" s="4">
        <v>36.57</v>
      </c>
      <c r="AJ90" s="4">
        <v>34.770000000000003</v>
      </c>
      <c r="AK90" s="4">
        <v>36.42</v>
      </c>
      <c r="AL90" s="4">
        <v>36.770000000000003</v>
      </c>
      <c r="AM90" s="4">
        <v>38</v>
      </c>
      <c r="AN90" s="4">
        <v>39.99</v>
      </c>
      <c r="AO90" s="4">
        <v>40.75</v>
      </c>
      <c r="AP90" s="4">
        <v>39.29</v>
      </c>
      <c r="AQ90" s="4">
        <v>38.840000000000003</v>
      </c>
      <c r="AR90" s="4">
        <v>38.020000000000003</v>
      </c>
      <c r="AS90" s="4">
        <v>37.67</v>
      </c>
      <c r="AT90" s="4">
        <v>38.950000000000003</v>
      </c>
      <c r="AU90" s="4">
        <v>41.31</v>
      </c>
      <c r="AV90" s="4">
        <v>40.880000000000003</v>
      </c>
      <c r="AW90" s="4">
        <v>40.4</v>
      </c>
      <c r="AX90" s="4">
        <v>38.99</v>
      </c>
      <c r="AY90" s="12">
        <v>40.5</v>
      </c>
      <c r="AZ90" s="12">
        <v>42.39</v>
      </c>
      <c r="BA90" s="12">
        <v>43.99</v>
      </c>
      <c r="BB90" s="15">
        <v>44.15</v>
      </c>
      <c r="BC90" s="52">
        <v>47.59</v>
      </c>
      <c r="BD90" s="52">
        <v>49.5</v>
      </c>
      <c r="BE90" s="52">
        <v>52.07</v>
      </c>
      <c r="BF90" s="52">
        <v>52.51</v>
      </c>
      <c r="BG90" s="67">
        <v>52.99</v>
      </c>
      <c r="BH90" s="52">
        <v>53.5</v>
      </c>
      <c r="BI90" s="52">
        <v>54.18</v>
      </c>
      <c r="BJ90" s="52">
        <v>56.66</v>
      </c>
      <c r="BK90" s="52">
        <v>52.35</v>
      </c>
      <c r="BL90" s="52" cm="1">
        <f t="array" aca="1" ref="BL90" ca="1">_FV(EC90,"Preço")</f>
        <v>52.35</v>
      </c>
      <c r="BM90" s="66" t="s">
        <v>16</v>
      </c>
      <c r="BN90" s="36" cm="1">
        <f t="array" aca="1" ref="BN90" ca="1">_FV(EC90,"Média de volume",TRUE)</f>
        <v>2032880</v>
      </c>
      <c r="BO90" s="36">
        <v>1091300</v>
      </c>
      <c r="BP90" s="36" cm="1">
        <f t="array" aca="1" ref="BP90" ca="1">_FV(EC90,"Volume")</f>
        <v>1091300</v>
      </c>
      <c r="BQ90" s="24" cm="1">
        <f t="array" aca="1" ref="BQ90" ca="1">_FV(EC90,"Beta")</f>
        <v>0.83919999999999995</v>
      </c>
      <c r="BR90" s="71" cm="1">
        <f t="array" aca="1" ref="BR90" ca="1">_FV(EC90,"Variação (%)",TRUE)</f>
        <v>-1.3381000000000001E-2</v>
      </c>
      <c r="BT90" s="17" cm="1">
        <f t="array" aca="1" ref="BT90" ca="1">_FV(EC90,"Baixo")</f>
        <v>51.93</v>
      </c>
      <c r="BU90" s="17" cm="1">
        <f t="array" aca="1" ref="BU90" ca="1">_FV(EC90,"Alto")</f>
        <v>53.2</v>
      </c>
      <c r="BV90" s="24"/>
      <c r="BW90" s="63">
        <f ca="1">SQRT(22.5*(BL90/VLOOKUP(BM90,Fundamentus!A:U,3,FALSE))*(BL90/VLOOKUP(BM90,Fundamentus!A:U,4,FALSE)))</f>
        <v>45.384563049057618</v>
      </c>
      <c r="BY90" s="62">
        <f t="shared" ca="1" si="112"/>
        <v>0</v>
      </c>
      <c r="BZ90" s="8"/>
      <c r="CA90" s="61">
        <f t="shared" si="113"/>
        <v>28.77</v>
      </c>
      <c r="CB90" s="61">
        <f t="shared" si="114"/>
        <v>56.66</v>
      </c>
      <c r="CC90" s="61">
        <f t="shared" si="115"/>
        <v>38.292222222222229</v>
      </c>
      <c r="CD90" s="14"/>
      <c r="CE90" s="35">
        <f t="shared" si="98"/>
        <v>51.205703312623029</v>
      </c>
      <c r="CF90" s="15">
        <f t="shared" si="116"/>
        <v>54.124000000000024</v>
      </c>
      <c r="CG90" s="35">
        <f t="shared" si="99"/>
        <v>57.042296687377018</v>
      </c>
      <c r="CI90" s="14"/>
      <c r="CJ90" s="17">
        <f t="shared" si="100"/>
        <v>10.176666666666652</v>
      </c>
      <c r="CK90" s="17">
        <f t="shared" si="101"/>
        <v>19.473333333333326</v>
      </c>
      <c r="CL90" s="17">
        <f t="shared" si="102"/>
        <v>38.066666666666649</v>
      </c>
      <c r="CM90" s="38">
        <f t="shared" si="117"/>
        <v>47.363333333333323</v>
      </c>
      <c r="CN90" s="17">
        <f t="shared" si="103"/>
        <v>65.956666666666649</v>
      </c>
      <c r="CO90" s="17">
        <f t="shared" si="104"/>
        <v>75.253333333333316</v>
      </c>
      <c r="CP90" s="17">
        <f t="shared" si="105"/>
        <v>93.846666666666636</v>
      </c>
      <c r="CQ90" s="2" cm="1">
        <f t="array" aca="1" ref="CQ90" ca="1">MAX(_xlfn._xlws.FILTER(CJ90:CP90,CJ90:CP90&lt;BL90))</f>
        <v>47.363333333333323</v>
      </c>
      <c r="CR90" s="2" cm="1">
        <f t="array" aca="1" ref="CR90" ca="1">MIN(_xlfn._xlws.FILTER($CJ90:$CP90,$CJ90:$CP90&gt;BL90))</f>
        <v>65.956666666666649</v>
      </c>
      <c r="CS90" s="16">
        <f t="shared" ca="1" si="119"/>
        <v>0.39256809064677323</v>
      </c>
      <c r="CT90" s="20">
        <f t="shared" ca="1" si="120"/>
        <v>-0.19628404532338661</v>
      </c>
      <c r="CU90" s="20">
        <f t="shared" ca="1" si="121"/>
        <v>-0.13085603021559108</v>
      </c>
      <c r="CV90" s="20">
        <f t="shared" ca="1" si="122"/>
        <v>-7.8513618129354645E-2</v>
      </c>
      <c r="CW90" s="20">
        <f t="shared" ca="1" si="123"/>
        <v>-4.3618676738530357E-2</v>
      </c>
      <c r="CX90" s="20">
        <f t="shared" ca="1" si="124"/>
        <v>-2.3092240626280777E-2</v>
      </c>
      <c r="CY90" s="20">
        <f t="shared" ca="1" si="125"/>
        <v>-1.1896002746871916E-2</v>
      </c>
      <c r="CZ90" s="20">
        <f t="shared" ca="1" si="126"/>
        <v>-6.039509086873434E-3</v>
      </c>
      <c r="DA90" s="21">
        <f t="shared" ca="1" si="127"/>
        <v>6.039509086873434E-3</v>
      </c>
      <c r="DB90" s="21">
        <f t="shared" ca="1" si="128"/>
        <v>1.1896002746871916E-2</v>
      </c>
      <c r="DC90" s="21">
        <f t="shared" ca="1" si="129"/>
        <v>2.3092240626280777E-2</v>
      </c>
      <c r="DD90" s="21">
        <f t="shared" ca="1" si="130"/>
        <v>4.3618676738530357E-2</v>
      </c>
      <c r="DE90" s="21">
        <f t="shared" ca="1" si="131"/>
        <v>7.8513618129354645E-2</v>
      </c>
      <c r="DF90" s="21">
        <f t="shared" ca="1" si="132"/>
        <v>0.13085603021559108</v>
      </c>
      <c r="DG90" s="21">
        <f t="shared" ca="1" si="133"/>
        <v>0.19628404532338661</v>
      </c>
      <c r="DI90" s="16" cm="1">
        <f t="array" aca="1" ref="DI90" ca="1">MAX(_xlfn._xlws.FILTER(CT90:DG90,CT90:DG90&lt;BR90))</f>
        <v>-2.3092240626280777E-2</v>
      </c>
      <c r="DJ90" s="16" cm="1">
        <f t="array" aca="1" ref="DJ90" ca="1">MIN(_xlfn._xlws.FILTER(CT90:DG90,CT90:DG90&gt;BR90))</f>
        <v>-1.1896002746871916E-2</v>
      </c>
      <c r="DK90" s="2" cm="1">
        <f t="array" aca="1" ref="DK90" ca="1">_FV(EC90,"Fechamento anterior",TRUE)</f>
        <v>53.06</v>
      </c>
      <c r="DL90" s="28">
        <f t="shared" ca="1" si="106"/>
        <v>0.86735943858991826</v>
      </c>
      <c r="DM90" s="15">
        <f t="shared" ca="1" si="134"/>
        <v>51.834725712369547</v>
      </c>
      <c r="DN90" s="15">
        <f t="shared" ca="1" si="135"/>
        <v>52.428798094250979</v>
      </c>
      <c r="DO90" s="9"/>
      <c r="DP90" s="9"/>
      <c r="DQ90" s="9"/>
      <c r="DR90" s="89">
        <v>1.0467369991354416E-2</v>
      </c>
      <c r="DS90" s="89">
        <v>5.3628795446977271E-3</v>
      </c>
      <c r="DT90" s="89">
        <v>1.2079018173746868E-2</v>
      </c>
      <c r="DU90" s="89">
        <v>1.1196237879408861E-2</v>
      </c>
      <c r="DV90" s="89">
        <f t="shared" ca="1" si="107"/>
        <v>1.1196237879408861E-2</v>
      </c>
      <c r="DW90" s="72">
        <f t="shared" ca="1" si="108"/>
        <v>-0.60788884408957</v>
      </c>
      <c r="DX90" s="37"/>
      <c r="DY90" s="35">
        <f t="shared" si="118"/>
        <v>1.4591483436884973</v>
      </c>
      <c r="DZ90" s="56"/>
      <c r="EA90" s="56"/>
      <c r="EC90" s="2" t="e" vm="90">
        <v>#VALUE!</v>
      </c>
      <c r="EE90" s="10" cm="1">
        <f t="array" aca="1" ref="EE90" ca="1">_FV(EC90,"Ações em circulação",TRUE)</f>
        <v>646586100</v>
      </c>
      <c r="EF90" s="18">
        <f>VLOOKUP(BM90,Fundamentus!A:U,5,FALSE)</f>
        <v>0.94399999999999995</v>
      </c>
      <c r="EG90" s="2">
        <f t="shared" ca="1" si="109"/>
        <v>35856760948.093224</v>
      </c>
      <c r="EH90" s="17">
        <v>2839855467.0889835</v>
      </c>
      <c r="EI90" s="17">
        <f t="shared" ca="1" si="110"/>
        <v>2839855467.0889835</v>
      </c>
      <c r="EK90" s="16">
        <f t="shared" ca="1" si="97"/>
        <v>0</v>
      </c>
      <c r="EL90" s="32" t="str">
        <f>IF(VLOOKUP(BM90,Fundamentus!A:U,3,FALSE)&lt;15,"Bom",IF(VLOOKUP(BM90,Fundamentus!A:U,3,FALSE)&gt;15,"Ruim","n/a"))</f>
        <v>Bom</v>
      </c>
      <c r="EM90" s="28" t="str">
        <f>IF(VLOOKUP(BM90,Fundamentus!A:U,4,FALSE)&lt;1,"Baixo",IF(VLOOKUP(BM90,Fundamentus!A:U,4,FALSE)&lt;1.5,"Moderado",IF(VLOOKUP(BM90,Fundamentus!A:U,4,FALSE)&gt;1.5,"Alto","n/a")))</f>
        <v>Alto</v>
      </c>
      <c r="EN90" s="17" t="str">
        <f>IF(VLOOKUP(BM90,Fundamentus!A:U,8,FALSE)&lt;0,"Risco elevado",IF(VLOOKUP(BM90,Fundamentus!A:U,8,FALSE)&lt;1,"Saudável",IF(VLOOKUP(BM90,Fundamentus!A:U,8,FALSE)&lt;3,"Estável",IF(VLOOKUP(BM90,Fundamentus!A:U,8,FALSE)&gt;3,"Alerta","n/a"))))</f>
        <v>Alerta</v>
      </c>
      <c r="EO90" s="28" t="str">
        <f t="shared" si="111"/>
        <v>Ruim</v>
      </c>
      <c r="EP90" s="17" t="str">
        <f>IF(VLOOKUP(BM90,Fundamentus!A:U,12,FALSE)&lt;2,"Subvalorizada",IF(VLOOKUP(BM90,Fundamentus!A:U,12,FALSE)&lt;6,"Muita barata",IF(VLOOKUP(BM90,Fundamentus!A:U,12,FALSE)&lt;6,"Barata",IF(VLOOKUP(BM90,Fundamentus!A:U,12,FALSE)&lt;8,"Atrativa",IF(VLOOKUP(BM90,Fundamentus!A:U,12,FALSE)&gt;8,"Supervalorizada","n/a")))))</f>
        <v>Subvalorizada</v>
      </c>
      <c r="ER90" s="17" t="str">
        <f>IF(VLOOKUP(BM90,Fundamentus!A:U,17,FALSE)&lt;0.1,"Fraco retorno",IF(VLOOKUP(BM90,Fundamentus!A:U,17,FALSE)&gt;0.1,"Bom retorno","n/a"))</f>
        <v>Bom retorno</v>
      </c>
      <c r="ES90" s="17" t="str">
        <f>IF(VLOOKUP(BM90,Fundamentus!A:U,16,FALSE)&lt;0.1,"Ineficiente",IF(VLOOKUP(BM90,Fundamentus!A:U,16,FALSE)&gt;0.1,"Eficiente","n/a"))</f>
        <v>Eficiente</v>
      </c>
      <c r="ET90" s="33" t="str">
        <f>IF(VLOOKUP(BM90,Fundamentus!A:U,16,FALSE)&lt;0.1,"Oper. Ineficiente",IF(VLOOKUP(BM90,Fundamentus!A:U,16,FALSE)&gt;0.1,"Oper.Eficiente","n/a"))</f>
        <v>Oper.Eficiente</v>
      </c>
      <c r="EU90" s="34">
        <f>VLOOKUP(BM90,Fundamentus!A:U,14,FALSE)</f>
        <v>7.9200000000000007E-2</v>
      </c>
      <c r="EV90" s="17" t="str">
        <f>IF(VLOOKUP(BM90,Fundamentus!A:U,21,FALSE)&lt;0,"Negativo",IF(VLOOKUP(BM90,Fundamentus!A:U,21,FALSE)&lt;0.05,"Fraco",IF(VLOOKUP(BM90,Fundamentus!A:U,21,FALSE)&lt;0.1,"Bom",IF(VLOOKUP(BM90,Fundamentus!A:U,21,FALSE)&gt;0.1,"Muito bom","n/a"))))</f>
        <v>Muito bom</v>
      </c>
      <c r="EX90" s="29" t="str">
        <f>IF(VLOOKUP(BM90,Fundamentus!A:U,15,FALSE)&gt;1,"Bom",IF(VLOOKUP(BM90,Fundamentus!A:U,15,FALSE)&lt;1,"Ruim","n/a"))</f>
        <v>Bom</v>
      </c>
      <c r="EY90" s="17" t="str">
        <f>IF(VLOOKUP(BM90,Fundamentus!A:U,20,FALSE)&lt;0.5,"Baixa",IF(VLOOKUP(BM90,Fundamentus!A:U,20,FALSE)&lt;1,"Moderada",IF(VLOOKUP(BM90,Fundamentus!A:U,20,FALSE)&lt;2,"Alerta",IF(VLOOKUP(BM90,Fundamentus!A:U,20,FALSE)&gt;2,"Alta","n/a"))))</f>
        <v>Baixa</v>
      </c>
      <c r="EZ90" s="10">
        <v>4</v>
      </c>
    </row>
    <row r="91" spans="1:156" s="2" customFormat="1" ht="11.25" x14ac:dyDescent="0.2">
      <c r="A91" s="4">
        <v>1.1499999999999999</v>
      </c>
      <c r="B91" s="4">
        <v>1.08</v>
      </c>
      <c r="C91" s="4">
        <v>1.05</v>
      </c>
      <c r="D91" s="4">
        <v>0.99</v>
      </c>
      <c r="E91" s="4">
        <v>1.01</v>
      </c>
      <c r="F91" s="4">
        <v>0.99</v>
      </c>
      <c r="G91" s="4">
        <v>0.96</v>
      </c>
      <c r="H91" s="4">
        <v>0.91</v>
      </c>
      <c r="I91" s="4">
        <v>0.91</v>
      </c>
      <c r="J91" s="4">
        <v>0.91</v>
      </c>
      <c r="K91" s="4">
        <v>0.91</v>
      </c>
      <c r="L91" s="4">
        <v>0.87</v>
      </c>
      <c r="M91" s="4">
        <v>0.88</v>
      </c>
      <c r="N91" s="4">
        <v>0.87</v>
      </c>
      <c r="O91" s="4">
        <v>0.82</v>
      </c>
      <c r="P91" s="4">
        <v>0.98</v>
      </c>
      <c r="Q91" s="4">
        <v>1.01</v>
      </c>
      <c r="R91" s="4">
        <v>0.99</v>
      </c>
      <c r="S91" s="4">
        <v>1.07</v>
      </c>
      <c r="T91" s="4">
        <v>1.02</v>
      </c>
      <c r="U91" s="4">
        <v>0.96</v>
      </c>
      <c r="V91" s="4">
        <v>1.1100000000000001</v>
      </c>
      <c r="W91" s="4">
        <v>1.05</v>
      </c>
      <c r="X91" s="4">
        <v>1.1299999999999999</v>
      </c>
      <c r="Y91" s="4">
        <v>1.1599999999999999</v>
      </c>
      <c r="Z91" s="4">
        <v>1.1499999999999999</v>
      </c>
      <c r="AA91" s="4">
        <v>1.05</v>
      </c>
      <c r="AB91" s="4">
        <v>1.1000000000000001</v>
      </c>
      <c r="AC91" s="4">
        <v>0.99</v>
      </c>
      <c r="AD91" s="4">
        <v>0.99</v>
      </c>
      <c r="AE91" s="4">
        <v>0.98</v>
      </c>
      <c r="AF91" s="4">
        <v>0.93</v>
      </c>
      <c r="AG91" s="4">
        <v>0.91</v>
      </c>
      <c r="AH91" s="4">
        <v>0.97</v>
      </c>
      <c r="AI91" s="4">
        <v>0.93</v>
      </c>
      <c r="AJ91" s="4">
        <v>0.93</v>
      </c>
      <c r="AK91" s="4">
        <v>0.94</v>
      </c>
      <c r="AL91" s="4">
        <v>0.91</v>
      </c>
      <c r="AM91" s="4">
        <v>0.88</v>
      </c>
      <c r="AN91" s="4">
        <v>0.93</v>
      </c>
      <c r="AO91" s="4">
        <v>1.02</v>
      </c>
      <c r="AP91" s="4">
        <v>0.96</v>
      </c>
      <c r="AQ91" s="4">
        <v>0.84</v>
      </c>
      <c r="AR91" s="4">
        <v>0.83</v>
      </c>
      <c r="AS91" s="4">
        <v>0.88</v>
      </c>
      <c r="AT91" s="4">
        <v>0.87</v>
      </c>
      <c r="AU91" s="4">
        <v>0.96</v>
      </c>
      <c r="AV91" s="4">
        <v>1.01</v>
      </c>
      <c r="AW91" s="4">
        <v>0.93</v>
      </c>
      <c r="AX91" s="4">
        <v>0.86</v>
      </c>
      <c r="AY91" s="12">
        <v>0.87</v>
      </c>
      <c r="AZ91" s="12">
        <v>0.83</v>
      </c>
      <c r="BA91" s="12">
        <v>0.82</v>
      </c>
      <c r="BB91" s="15">
        <v>0.83</v>
      </c>
      <c r="BC91" s="52">
        <v>0.86</v>
      </c>
      <c r="BD91" s="52">
        <v>0.84</v>
      </c>
      <c r="BE91" s="52">
        <v>0.84</v>
      </c>
      <c r="BF91" s="52">
        <v>1.26</v>
      </c>
      <c r="BG91" s="67">
        <v>1.1200000000000001</v>
      </c>
      <c r="BH91" s="52">
        <v>1.1100000000000001</v>
      </c>
      <c r="BI91" s="52">
        <v>0.88</v>
      </c>
      <c r="BJ91" s="52">
        <v>0.95</v>
      </c>
      <c r="BK91" s="52">
        <v>0.99</v>
      </c>
      <c r="BL91" s="52" cm="1">
        <f t="array" aca="1" ref="BL91" ca="1">_FV(EC91,"Preço")</f>
        <v>0.99</v>
      </c>
      <c r="BM91" s="69" t="s">
        <v>88</v>
      </c>
      <c r="BN91" s="36" cm="1">
        <f t="array" aca="1" ref="BN91" ca="1">_FV(EC91,"Média de volume",TRUE)</f>
        <v>64180</v>
      </c>
      <c r="BO91" s="36">
        <v>252900</v>
      </c>
      <c r="BP91" s="36" cm="1">
        <f t="array" aca="1" ref="BP91" ca="1">_FV(EC91,"Volume")</f>
        <v>252900</v>
      </c>
      <c r="BQ91" s="24" cm="1">
        <f t="array" aca="1" ref="BQ91" ca="1">_FV(EC91,"Beta")</f>
        <v>1.3280000000000001</v>
      </c>
      <c r="BR91" s="71" cm="1">
        <f t="array" aca="1" ref="BR91" ca="1">_FV(EC91,"Variação (%)",TRUE)</f>
        <v>6.4516000000000004E-2</v>
      </c>
      <c r="BT91" s="17" cm="1">
        <f t="array" aca="1" ref="BT91" ca="1">_FV(EC91,"Baixo")</f>
        <v>0.94</v>
      </c>
      <c r="BU91" s="17" cm="1">
        <f t="array" aca="1" ref="BU91" ca="1">_FV(EC91,"Alto")</f>
        <v>0.99</v>
      </c>
      <c r="BV91" s="24"/>
      <c r="BW91" s="63" t="e">
        <f ca="1">SQRT(22.5*(BL91/VLOOKUP(BM91,Fundamentus!A:U,3,FALSE))*(BL91/VLOOKUP(BM91,Fundamentus!A:U,4,FALSE)))</f>
        <v>#NUM!</v>
      </c>
      <c r="BY91" s="62">
        <f t="shared" ca="1" si="112"/>
        <v>0</v>
      </c>
      <c r="BZ91" s="8"/>
      <c r="CA91" s="61">
        <f t="shared" si="113"/>
        <v>0.82</v>
      </c>
      <c r="CB91" s="61">
        <f t="shared" si="114"/>
        <v>1.26</v>
      </c>
      <c r="CC91" s="61">
        <f t="shared" si="115"/>
        <v>0.96412698412698405</v>
      </c>
      <c r="CD91" s="14"/>
      <c r="CE91" s="35">
        <f t="shared" si="98"/>
        <v>0.71622849865623439</v>
      </c>
      <c r="CF91" s="15">
        <f t="shared" si="116"/>
        <v>0.96799999999998931</v>
      </c>
      <c r="CG91" s="35">
        <f t="shared" si="99"/>
        <v>1.2197715013437442</v>
      </c>
      <c r="CI91" s="14"/>
      <c r="CJ91" s="17">
        <f t="shared" si="100"/>
        <v>0.31999999999999995</v>
      </c>
      <c r="CK91" s="17">
        <f t="shared" si="101"/>
        <v>0.56999999999999995</v>
      </c>
      <c r="CL91" s="17">
        <f t="shared" si="102"/>
        <v>0.76</v>
      </c>
      <c r="CM91" s="38">
        <f t="shared" si="117"/>
        <v>1.01</v>
      </c>
      <c r="CN91" s="17">
        <f t="shared" si="103"/>
        <v>1.2000000000000002</v>
      </c>
      <c r="CO91" s="17">
        <f t="shared" si="104"/>
        <v>1.4500000000000002</v>
      </c>
      <c r="CP91" s="17">
        <f t="shared" si="105"/>
        <v>1.6400000000000001</v>
      </c>
      <c r="CQ91" s="2" cm="1">
        <f t="array" aca="1" ref="CQ91" ca="1">MAX(_xlfn._xlws.FILTER(CJ91:CP91,CJ91:CP91&lt;BL91))</f>
        <v>0.76</v>
      </c>
      <c r="CR91" s="2" cm="1">
        <f t="array" aca="1" ref="CR91" ca="1">MIN(_xlfn._xlws.FILTER($CJ91:$CP91,$CJ91:$CP91&gt;BL91))</f>
        <v>1.01</v>
      </c>
      <c r="CS91" s="16">
        <f t="shared" ca="1" si="119"/>
        <v>0.32894736842105265</v>
      </c>
      <c r="CT91" s="20">
        <f t="shared" ca="1" si="120"/>
        <v>-0.16447368421052633</v>
      </c>
      <c r="CU91" s="20">
        <f t="shared" ca="1" si="121"/>
        <v>-0.10964912280701755</v>
      </c>
      <c r="CV91" s="20">
        <f t="shared" ca="1" si="122"/>
        <v>-6.5789473684210537E-2</v>
      </c>
      <c r="CW91" s="20">
        <f t="shared" ca="1" si="123"/>
        <v>-3.6549707602339186E-2</v>
      </c>
      <c r="CX91" s="20">
        <f t="shared" ca="1" si="124"/>
        <v>-1.9349845201238391E-2</v>
      </c>
      <c r="CY91" s="20">
        <f t="shared" ca="1" si="125"/>
        <v>-9.9681020733652318E-3</v>
      </c>
      <c r="CZ91" s="20">
        <f t="shared" ca="1" si="126"/>
        <v>-5.0607287449392713E-3</v>
      </c>
      <c r="DA91" s="21">
        <f t="shared" ca="1" si="127"/>
        <v>5.0607287449392713E-3</v>
      </c>
      <c r="DB91" s="21">
        <f t="shared" ca="1" si="128"/>
        <v>9.9681020733652318E-3</v>
      </c>
      <c r="DC91" s="21">
        <f t="shared" ca="1" si="129"/>
        <v>1.9349845201238391E-2</v>
      </c>
      <c r="DD91" s="21">
        <f t="shared" ca="1" si="130"/>
        <v>3.6549707602339186E-2</v>
      </c>
      <c r="DE91" s="21">
        <f t="shared" ca="1" si="131"/>
        <v>6.5789473684210537E-2</v>
      </c>
      <c r="DF91" s="21">
        <f t="shared" ca="1" si="132"/>
        <v>0.10964912280701755</v>
      </c>
      <c r="DG91" s="21">
        <f t="shared" ca="1" si="133"/>
        <v>0.16447368421052633</v>
      </c>
      <c r="DI91" s="16" cm="1">
        <f t="array" aca="1" ref="DI91" ca="1">MAX(_xlfn._xlws.FILTER(CT91:DG91,CT91:DG91&lt;BR91))</f>
        <v>3.6549707602339186E-2</v>
      </c>
      <c r="DJ91" s="16" cm="1">
        <f t="array" aca="1" ref="DJ91" ca="1">MIN(_xlfn._xlws.FILTER(CT91:DG91,CT91:DG91&gt;BR91))</f>
        <v>6.5789473684210537E-2</v>
      </c>
      <c r="DK91" s="2" cm="1">
        <f t="array" aca="1" ref="DK91" ca="1">_FV(EC91,"Fechamento anterior",TRUE)</f>
        <v>0.93</v>
      </c>
      <c r="DL91" s="28">
        <f t="shared" ca="1" si="106"/>
        <v>0.95645161290322189</v>
      </c>
      <c r="DM91" s="15">
        <f t="shared" ca="1" si="134"/>
        <v>0.96399122807017545</v>
      </c>
      <c r="DN91" s="15">
        <f t="shared" ca="1" si="135"/>
        <v>0.99118421052631589</v>
      </c>
      <c r="DO91" s="9"/>
      <c r="DP91" s="9"/>
      <c r="DQ91" s="9"/>
      <c r="DR91" s="89">
        <v>2.1190230478156182E-2</v>
      </c>
      <c r="DS91" s="89">
        <v>2.055555555555557E-2</v>
      </c>
      <c r="DT91" s="89">
        <v>9.3817431278731597E-3</v>
      </c>
      <c r="DU91" s="89">
        <v>2.923976608187135E-2</v>
      </c>
      <c r="DV91" s="89">
        <f t="shared" ca="1" si="107"/>
        <v>2.923976608187135E-2</v>
      </c>
      <c r="DW91" s="72">
        <f t="shared" ca="1" si="108"/>
        <v>8.7380819046604843E-2</v>
      </c>
      <c r="DX91" s="37"/>
      <c r="DY91" s="35">
        <f t="shared" si="118"/>
        <v>0.12588575067187746</v>
      </c>
      <c r="DZ91" s="56"/>
      <c r="EA91" s="56"/>
      <c r="EC91" s="2" t="e" vm="91">
        <v>#VALUE!</v>
      </c>
      <c r="EE91" s="10" cm="1">
        <f t="array" aca="1" ref="EE91" ca="1">_FV(EC91,"Ações em circulação",TRUE)</f>
        <v>124061300</v>
      </c>
      <c r="EF91" s="18">
        <f>VLOOKUP(BM91,Fundamentus!A:U,5,FALSE)</f>
        <v>1.3859999999999999</v>
      </c>
      <c r="EG91" s="2">
        <f t="shared" ca="1" si="109"/>
        <v>88615214.285714298</v>
      </c>
      <c r="EH91" s="17">
        <v>-33204120.792857144</v>
      </c>
      <c r="EI91" s="17">
        <f t="shared" ca="1" si="110"/>
        <v>-33204120.792857144</v>
      </c>
      <c r="EK91" s="16">
        <f t="shared" ca="1" si="97"/>
        <v>0</v>
      </c>
      <c r="EL91" s="32" t="str">
        <f>IF(VLOOKUP(BM91,Fundamentus!A:U,3,FALSE)&lt;15,"Bom",IF(VLOOKUP(BM91,Fundamentus!A:U,3,FALSE)&gt;15,"Ruim","n/a"))</f>
        <v>Bom</v>
      </c>
      <c r="EM91" s="28" t="str">
        <f>IF(VLOOKUP(BM91,Fundamentus!A:U,4,FALSE)&lt;1,"Baixo",IF(VLOOKUP(BM91,Fundamentus!A:U,4,FALSE)&lt;1.5,"Moderado",IF(VLOOKUP(BM91,Fundamentus!A:U,4,FALSE)&gt;1.5,"Alto","n/a")))</f>
        <v>Baixo</v>
      </c>
      <c r="EN91" s="17" t="str">
        <f>IF(VLOOKUP(BM91,Fundamentus!A:U,8,FALSE)&lt;0,"Risco elevado",IF(VLOOKUP(BM91,Fundamentus!A:U,8,FALSE)&lt;1,"Saudável",IF(VLOOKUP(BM91,Fundamentus!A:U,8,FALSE)&lt;3,"Estável",IF(VLOOKUP(BM91,Fundamentus!A:U,8,FALSE)&gt;3,"Alerta","n/a"))))</f>
        <v>Risco elevado</v>
      </c>
      <c r="EO91" s="28" t="str">
        <f t="shared" si="111"/>
        <v>Bom</v>
      </c>
      <c r="EP91" s="17" t="str">
        <f>IF(VLOOKUP(BM91,Fundamentus!A:U,12,FALSE)&lt;2,"Subvalorizada",IF(VLOOKUP(BM91,Fundamentus!A:U,12,FALSE)&lt;6,"Muita barata",IF(VLOOKUP(BM91,Fundamentus!A:U,12,FALSE)&lt;6,"Barata",IF(VLOOKUP(BM91,Fundamentus!A:U,12,FALSE)&lt;8,"Atrativa",IF(VLOOKUP(BM91,Fundamentus!A:U,12,FALSE)&gt;8,"Supervalorizada","n/a")))))</f>
        <v>Supervalorizada</v>
      </c>
      <c r="ER91" s="17" t="str">
        <f>IF(VLOOKUP(BM91,Fundamentus!A:U,17,FALSE)&lt;0.1,"Fraco retorno",IF(VLOOKUP(BM91,Fundamentus!A:U,17,FALSE)&gt;0.1,"Bom retorno","n/a"))</f>
        <v>Fraco retorno</v>
      </c>
      <c r="ES91" s="17" t="str">
        <f>IF(VLOOKUP(BM91,Fundamentus!A:U,16,FALSE)&lt;0.1,"Ineficiente",IF(VLOOKUP(BM91,Fundamentus!A:U,16,FALSE)&gt;0.1,"Eficiente","n/a"))</f>
        <v>Ineficiente</v>
      </c>
      <c r="ET91" s="33" t="str">
        <f>IF(VLOOKUP(BM91,Fundamentus!A:U,16,FALSE)&lt;0.1,"Oper. Ineficiente",IF(VLOOKUP(BM91,Fundamentus!A:U,16,FALSE)&gt;0.1,"Oper.Eficiente","n/a"))</f>
        <v>Oper. Ineficiente</v>
      </c>
      <c r="EU91" s="34">
        <f>VLOOKUP(BM91,Fundamentus!A:U,14,FALSE)</f>
        <v>-0.37469999999999998</v>
      </c>
      <c r="EV91" s="17" t="str">
        <f>IF(VLOOKUP(BM91,Fundamentus!A:U,21,FALSE)&lt;0,"Negativo",IF(VLOOKUP(BM91,Fundamentus!A:U,21,FALSE)&lt;0.05,"Fraco",IF(VLOOKUP(BM91,Fundamentus!A:U,21,FALSE)&lt;0.1,"Bom",IF(VLOOKUP(BM91,Fundamentus!A:U,21,FALSE)&gt;0.1,"Muito bom","n/a"))))</f>
        <v>Muito bom</v>
      </c>
      <c r="EX91" s="29" t="str">
        <f>IF(VLOOKUP(BM91,Fundamentus!A:U,15,FALSE)&gt;1,"Bom",IF(VLOOKUP(BM91,Fundamentus!A:U,15,FALSE)&lt;1,"Ruim","n/a"))</f>
        <v>Ruim</v>
      </c>
      <c r="EY91" s="17" t="str">
        <f>IF(VLOOKUP(BM91,Fundamentus!A:U,20,FALSE)&lt;0.5,"Baixa",IF(VLOOKUP(BM91,Fundamentus!A:U,20,FALSE)&lt;1,"Moderada",IF(VLOOKUP(BM91,Fundamentus!A:U,20,FALSE)&lt;2,"Alerta",IF(VLOOKUP(BM91,Fundamentus!A:U,20,FALSE)&gt;2,"Alta","n/a"))))</f>
        <v>Alerta</v>
      </c>
      <c r="EZ91" s="10"/>
    </row>
    <row r="92" spans="1:156" s="2" customFormat="1" ht="11.25" x14ac:dyDescent="0.2">
      <c r="A92" s="4">
        <v>53.98</v>
      </c>
      <c r="B92" s="4">
        <v>54</v>
      </c>
      <c r="C92" s="4">
        <v>50.88</v>
      </c>
      <c r="D92" s="4">
        <v>50.5</v>
      </c>
      <c r="E92" s="4">
        <v>49.95</v>
      </c>
      <c r="F92" s="4">
        <v>47.68</v>
      </c>
      <c r="G92" s="4">
        <v>48.63</v>
      </c>
      <c r="H92" s="4">
        <v>48.3</v>
      </c>
      <c r="I92" s="4">
        <v>48.82</v>
      </c>
      <c r="J92" s="4">
        <v>52.29</v>
      </c>
      <c r="K92" s="4">
        <v>51.89</v>
      </c>
      <c r="L92" s="4">
        <v>51.06</v>
      </c>
      <c r="M92" s="4">
        <v>50.25</v>
      </c>
      <c r="N92" s="4">
        <v>51.22</v>
      </c>
      <c r="O92" s="4">
        <v>50</v>
      </c>
      <c r="P92" s="4">
        <v>48.68</v>
      </c>
      <c r="Q92" s="4">
        <v>49.26</v>
      </c>
      <c r="R92" s="4">
        <v>47.28</v>
      </c>
      <c r="S92" s="4">
        <v>47.91</v>
      </c>
      <c r="T92" s="4">
        <v>48.21</v>
      </c>
      <c r="U92" s="4">
        <v>47.86</v>
      </c>
      <c r="V92" s="4">
        <v>47.5</v>
      </c>
      <c r="W92" s="4">
        <v>46.56</v>
      </c>
      <c r="X92" s="4">
        <v>46.58</v>
      </c>
      <c r="Y92" s="4">
        <v>45.84</v>
      </c>
      <c r="Z92" s="4">
        <v>46.02</v>
      </c>
      <c r="AA92" s="4">
        <v>44.14</v>
      </c>
      <c r="AB92" s="4">
        <v>44.5</v>
      </c>
      <c r="AC92" s="4">
        <v>48.71</v>
      </c>
      <c r="AD92" s="4">
        <v>51.13</v>
      </c>
      <c r="AE92" s="4">
        <v>52</v>
      </c>
      <c r="AF92" s="4">
        <v>49.62</v>
      </c>
      <c r="AG92" s="4">
        <v>49.24</v>
      </c>
      <c r="AH92" s="4">
        <v>47.18</v>
      </c>
      <c r="AI92" s="4">
        <v>47.38</v>
      </c>
      <c r="AJ92" s="4">
        <v>44.99</v>
      </c>
      <c r="AK92" s="4">
        <v>44.8</v>
      </c>
      <c r="AL92" s="4">
        <v>45.52</v>
      </c>
      <c r="AM92" s="4">
        <v>47.6</v>
      </c>
      <c r="AN92" s="4">
        <v>49.04</v>
      </c>
      <c r="AO92" s="4">
        <v>47.59</v>
      </c>
      <c r="AP92" s="4">
        <v>47.99</v>
      </c>
      <c r="AQ92" s="4">
        <v>48.39</v>
      </c>
      <c r="AR92" s="4">
        <v>45.47</v>
      </c>
      <c r="AS92" s="4">
        <v>47.18</v>
      </c>
      <c r="AT92" s="4">
        <v>53.5</v>
      </c>
      <c r="AU92" s="4">
        <v>53.244999999999997</v>
      </c>
      <c r="AV92" s="4">
        <v>54.93</v>
      </c>
      <c r="AW92" s="4">
        <v>56.11</v>
      </c>
      <c r="AX92" s="4">
        <v>54.69</v>
      </c>
      <c r="AY92" s="12">
        <v>53</v>
      </c>
      <c r="AZ92" s="12">
        <v>54.36</v>
      </c>
      <c r="BA92" s="12">
        <v>54.57</v>
      </c>
      <c r="BB92" s="15">
        <v>55.14</v>
      </c>
      <c r="BC92" s="52">
        <v>57.54</v>
      </c>
      <c r="BD92" s="52">
        <v>61</v>
      </c>
      <c r="BE92" s="52">
        <v>60.1</v>
      </c>
      <c r="BF92" s="52">
        <v>60.17</v>
      </c>
      <c r="BG92" s="67">
        <v>59.11</v>
      </c>
      <c r="BH92" s="52">
        <v>58.1</v>
      </c>
      <c r="BI92" s="52">
        <v>57.84</v>
      </c>
      <c r="BJ92" s="52">
        <v>59.74</v>
      </c>
      <c r="BK92" s="52">
        <v>58.9</v>
      </c>
      <c r="BL92" s="52" cm="1">
        <f t="array" aca="1" ref="BL92" ca="1">_FV(EC92,"Preço")</f>
        <v>58.9</v>
      </c>
      <c r="BM92" s="69" t="s">
        <v>151</v>
      </c>
      <c r="BN92" s="36" cm="1">
        <f t="array" aca="1" ref="BN92" ca="1">_FV(EC92,"Média de volume",TRUE)</f>
        <v>117660</v>
      </c>
      <c r="BO92" s="36">
        <v>128100</v>
      </c>
      <c r="BP92" s="36" cm="1">
        <f t="array" aca="1" ref="BP92" ca="1">_FV(EC92,"Volume")</f>
        <v>128100</v>
      </c>
      <c r="BQ92" s="24" cm="1">
        <f t="array" aca="1" ref="BQ92" ca="1">_FV(EC92,"Beta")</f>
        <v>1.2448999999999999</v>
      </c>
      <c r="BR92" s="71" cm="1">
        <f t="array" aca="1" ref="BR92" ca="1">_FV(EC92,"Variação (%)",TRUE)</f>
        <v>-1.9640000000000001E-2</v>
      </c>
      <c r="BT92" s="17" cm="1">
        <f t="array" aca="1" ref="BT92" ca="1">_FV(EC92,"Baixo")</f>
        <v>58.2</v>
      </c>
      <c r="BU92" s="17" cm="1">
        <f t="array" aca="1" ref="BU92" ca="1">_FV(EC92,"Alto")</f>
        <v>60.09</v>
      </c>
      <c r="BV92" s="24"/>
      <c r="BW92" s="63">
        <f ca="1">SQRT(22.5*(BL92/VLOOKUP(BM92,Fundamentus!A:U,3,FALSE))*(BL92/VLOOKUP(BM92,Fundamentus!A:U,4,FALSE)))</f>
        <v>54.892084867498077</v>
      </c>
      <c r="BY92" s="62">
        <f t="shared" ca="1" si="112"/>
        <v>0</v>
      </c>
      <c r="BZ92" s="8"/>
      <c r="CA92" s="61">
        <f t="shared" si="113"/>
        <v>44.14</v>
      </c>
      <c r="CB92" s="61">
        <f t="shared" si="114"/>
        <v>61</v>
      </c>
      <c r="CC92" s="61">
        <f t="shared" si="115"/>
        <v>50.883571428571422</v>
      </c>
      <c r="CD92" s="14"/>
      <c r="CE92" s="35">
        <f t="shared" si="98"/>
        <v>57.20854945914509</v>
      </c>
      <c r="CF92" s="15">
        <f t="shared" si="116"/>
        <v>58.859999999999673</v>
      </c>
      <c r="CG92" s="35">
        <f t="shared" si="99"/>
        <v>60.511450540854256</v>
      </c>
      <c r="CI92" s="14"/>
      <c r="CJ92" s="17">
        <f t="shared" si="100"/>
        <v>32.06</v>
      </c>
      <c r="CK92" s="17">
        <f t="shared" si="101"/>
        <v>38.1</v>
      </c>
      <c r="CL92" s="17">
        <f t="shared" si="102"/>
        <v>48.92</v>
      </c>
      <c r="CM92" s="38">
        <f t="shared" si="117"/>
        <v>54.96</v>
      </c>
      <c r="CN92" s="17">
        <f t="shared" si="103"/>
        <v>65.78</v>
      </c>
      <c r="CO92" s="17">
        <f t="shared" si="104"/>
        <v>71.819999999999993</v>
      </c>
      <c r="CP92" s="17">
        <f t="shared" si="105"/>
        <v>82.64</v>
      </c>
      <c r="CQ92" s="2" cm="1">
        <f t="array" aca="1" ref="CQ92" ca="1">MAX(_xlfn._xlws.FILTER(CJ92:CP92,CJ92:CP92&lt;BL92))</f>
        <v>54.96</v>
      </c>
      <c r="CR92" s="2" cm="1">
        <f t="array" aca="1" ref="CR92" ca="1">MIN(_xlfn._xlws.FILTER($CJ92:$CP92,$CJ92:$CP92&gt;BL92))</f>
        <v>65.78</v>
      </c>
      <c r="CS92" s="16">
        <f t="shared" ca="1" si="119"/>
        <v>0.19687045123726343</v>
      </c>
      <c r="CT92" s="20">
        <f t="shared" ca="1" si="120"/>
        <v>-9.8435225618631716E-2</v>
      </c>
      <c r="CU92" s="20">
        <f t="shared" ca="1" si="121"/>
        <v>-6.5623483745754482E-2</v>
      </c>
      <c r="CV92" s="20">
        <f t="shared" ca="1" si="122"/>
        <v>-3.9374090247452684E-2</v>
      </c>
      <c r="CW92" s="20">
        <f t="shared" ca="1" si="123"/>
        <v>-2.1874494581918161E-2</v>
      </c>
      <c r="CX92" s="20">
        <f t="shared" ca="1" si="124"/>
        <v>-1.1580614778662554E-2</v>
      </c>
      <c r="CY92" s="20">
        <f t="shared" ca="1" si="125"/>
        <v>-5.9657712496140438E-3</v>
      </c>
      <c r="CZ92" s="20">
        <f t="shared" ca="1" si="126"/>
        <v>-3.028776172880976E-3</v>
      </c>
      <c r="DA92" s="21">
        <f t="shared" ca="1" si="127"/>
        <v>3.028776172880976E-3</v>
      </c>
      <c r="DB92" s="21">
        <f t="shared" ca="1" si="128"/>
        <v>5.9657712496140438E-3</v>
      </c>
      <c r="DC92" s="21">
        <f t="shared" ca="1" si="129"/>
        <v>1.1580614778662554E-2</v>
      </c>
      <c r="DD92" s="21">
        <f t="shared" ca="1" si="130"/>
        <v>2.1874494581918161E-2</v>
      </c>
      <c r="DE92" s="21">
        <f t="shared" ca="1" si="131"/>
        <v>3.9374090247452684E-2</v>
      </c>
      <c r="DF92" s="21">
        <f t="shared" ca="1" si="132"/>
        <v>6.5623483745754482E-2</v>
      </c>
      <c r="DG92" s="21">
        <f t="shared" ca="1" si="133"/>
        <v>9.8435225618631716E-2</v>
      </c>
      <c r="DI92" s="16" cm="1">
        <f t="array" aca="1" ref="DI92" ca="1">MAX(_xlfn._xlws.FILTER(CT92:DG92,CT92:DG92&lt;BR92))</f>
        <v>-2.1874494581918161E-2</v>
      </c>
      <c r="DJ92" s="16" cm="1">
        <f t="array" aca="1" ref="DJ92" ca="1">MIN(_xlfn._xlws.FILTER(CT92:DG92,CT92:DG92&gt;BR92))</f>
        <v>-1.1580614778662554E-2</v>
      </c>
      <c r="DK92" s="2" cm="1">
        <f t="array" aca="1" ref="DK92" ca="1">_FV(EC92,"Fechamento anterior",TRUE)</f>
        <v>60.08</v>
      </c>
      <c r="DL92" s="28">
        <f t="shared" ca="1" si="106"/>
        <v>0.21702363576845393</v>
      </c>
      <c r="DM92" s="15">
        <f t="shared" ca="1" si="134"/>
        <v>58.765780365518353</v>
      </c>
      <c r="DN92" s="15">
        <f t="shared" ca="1" si="135"/>
        <v>59.384236664097955</v>
      </c>
      <c r="DO92" s="9"/>
      <c r="DP92" s="9"/>
      <c r="DQ92" s="9"/>
      <c r="DR92" s="89">
        <v>8.773745797967256E-3</v>
      </c>
      <c r="DS92" s="89">
        <v>1.0132808069955535E-2</v>
      </c>
      <c r="DT92" s="89">
        <v>5.6148435290485103E-3</v>
      </c>
      <c r="DU92" s="89">
        <v>1.0293879803255607E-2</v>
      </c>
      <c r="DV92" s="89">
        <f t="shared" ca="1" si="107"/>
        <v>1.0293879803255607E-2</v>
      </c>
      <c r="DW92" s="72">
        <f t="shared" ca="1" si="108"/>
        <v>2.4221131066769357E-2</v>
      </c>
      <c r="DX92" s="37"/>
      <c r="DY92" s="35">
        <f t="shared" si="118"/>
        <v>0.82572527042729038</v>
      </c>
      <c r="DZ92" s="56"/>
      <c r="EA92" s="56"/>
      <c r="EC92" s="2" t="e" vm="92">
        <v>#VALUE!</v>
      </c>
      <c r="EE92" s="10" cm="1">
        <f t="array" aca="1" ref="EE92" ca="1">_FV(EC92,"Ações em circulação",TRUE)</f>
        <v>113173300</v>
      </c>
      <c r="EF92" s="18">
        <f>VLOOKUP(BM92,Fundamentus!A:U,5,FALSE)</f>
        <v>1.1870000000000001</v>
      </c>
      <c r="EG92" s="2">
        <f t="shared" ca="1" si="109"/>
        <v>5615760210.614996</v>
      </c>
      <c r="EH92" s="17">
        <v>649181880.34709346</v>
      </c>
      <c r="EI92" s="17">
        <f t="shared" ca="1" si="110"/>
        <v>649181880.34709346</v>
      </c>
      <c r="EK92" s="16">
        <f t="shared" ca="1" si="97"/>
        <v>0</v>
      </c>
      <c r="EL92" s="32" t="str">
        <f>IF(VLOOKUP(BM92,Fundamentus!A:U,3,FALSE)&lt;15,"Bom",IF(VLOOKUP(BM92,Fundamentus!A:U,3,FALSE)&gt;15,"Ruim","n/a"))</f>
        <v>Bom</v>
      </c>
      <c r="EM92" s="28" t="str">
        <f>IF(VLOOKUP(BM92,Fundamentus!A:U,4,FALSE)&lt;1,"Baixo",IF(VLOOKUP(BM92,Fundamentus!A:U,4,FALSE)&lt;1.5,"Moderado",IF(VLOOKUP(BM92,Fundamentus!A:U,4,FALSE)&gt;1.5,"Alto","n/a")))</f>
        <v>Alto</v>
      </c>
      <c r="EN92" s="17" t="str">
        <f>IF(VLOOKUP(BM92,Fundamentus!A:U,8,FALSE)&lt;0,"Risco elevado",IF(VLOOKUP(BM92,Fundamentus!A:U,8,FALSE)&lt;1,"Saudável",IF(VLOOKUP(BM92,Fundamentus!A:U,8,FALSE)&lt;3,"Estável",IF(VLOOKUP(BM92,Fundamentus!A:U,8,FALSE)&gt;3,"Alerta","n/a"))))</f>
        <v>Alerta</v>
      </c>
      <c r="EO92" s="28" t="str">
        <f t="shared" si="111"/>
        <v>Bom</v>
      </c>
      <c r="EP92" s="17" t="str">
        <f>IF(VLOOKUP(BM92,Fundamentus!A:U,12,FALSE)&lt;2,"Subvalorizada",IF(VLOOKUP(BM92,Fundamentus!A:U,12,FALSE)&lt;6,"Muita barata",IF(VLOOKUP(BM92,Fundamentus!A:U,12,FALSE)&lt;6,"Barata",IF(VLOOKUP(BM92,Fundamentus!A:U,12,FALSE)&lt;8,"Atrativa",IF(VLOOKUP(BM92,Fundamentus!A:U,12,FALSE)&gt;8,"Supervalorizada","n/a")))))</f>
        <v>Atrativa</v>
      </c>
      <c r="ER92" s="17" t="str">
        <f>IF(VLOOKUP(BM92,Fundamentus!A:U,17,FALSE)&lt;0.1,"Fraco retorno",IF(VLOOKUP(BM92,Fundamentus!A:U,17,FALSE)&gt;0.1,"Bom retorno","n/a"))</f>
        <v>Bom retorno</v>
      </c>
      <c r="ES92" s="17" t="str">
        <f>IF(VLOOKUP(BM92,Fundamentus!A:U,16,FALSE)&lt;0.1,"Ineficiente",IF(VLOOKUP(BM92,Fundamentus!A:U,16,FALSE)&gt;0.1,"Eficiente","n/a"))</f>
        <v>Eficiente</v>
      </c>
      <c r="ET92" s="33" t="str">
        <f>IF(VLOOKUP(BM92,Fundamentus!A:U,16,FALSE)&lt;0.1,"Oper. Ineficiente",IF(VLOOKUP(BM92,Fundamentus!A:U,16,FALSE)&gt;0.1,"Oper.Eficiente","n/a"))</f>
        <v>Oper.Eficiente</v>
      </c>
      <c r="EU92" s="34">
        <f>VLOOKUP(BM92,Fundamentus!A:U,14,FALSE)</f>
        <v>0.11559999999999999</v>
      </c>
      <c r="EV92" s="17" t="str">
        <f>IF(VLOOKUP(BM92,Fundamentus!A:U,21,FALSE)&lt;0,"Negativo",IF(VLOOKUP(BM92,Fundamentus!A:U,21,FALSE)&lt;0.05,"Fraco",IF(VLOOKUP(BM92,Fundamentus!A:U,21,FALSE)&lt;0.1,"Bom",IF(VLOOKUP(BM92,Fundamentus!A:U,21,FALSE)&gt;0.1,"Muito bom","n/a"))))</f>
        <v>Fraco</v>
      </c>
      <c r="EX92" s="29" t="str">
        <f>IF(VLOOKUP(BM92,Fundamentus!A:U,15,FALSE)&gt;1,"Bom",IF(VLOOKUP(BM92,Fundamentus!A:U,15,FALSE)&lt;1,"Ruim","n/a"))</f>
        <v>Bom</v>
      </c>
      <c r="EY92" s="17" t="str">
        <f>IF(VLOOKUP(BM92,Fundamentus!A:U,20,FALSE)&lt;0.5,"Baixa",IF(VLOOKUP(BM92,Fundamentus!A:U,20,FALSE)&lt;1,"Moderada",IF(VLOOKUP(BM92,Fundamentus!A:U,20,FALSE)&lt;2,"Alerta",IF(VLOOKUP(BM92,Fundamentus!A:U,20,FALSE)&gt;2,"Alta","n/a"))))</f>
        <v>Moderada</v>
      </c>
      <c r="EZ92" s="10"/>
    </row>
    <row r="93" spans="1:156" s="2" customFormat="1" ht="11.25" x14ac:dyDescent="0.2">
      <c r="A93" s="4">
        <v>14.64</v>
      </c>
      <c r="B93" s="4">
        <v>13.99</v>
      </c>
      <c r="C93" s="4">
        <v>13.65</v>
      </c>
      <c r="D93" s="4">
        <v>13.01</v>
      </c>
      <c r="E93" s="4">
        <v>12.96</v>
      </c>
      <c r="F93" s="4">
        <v>13.48</v>
      </c>
      <c r="G93" s="4">
        <v>13.3</v>
      </c>
      <c r="H93" s="4">
        <v>12.9</v>
      </c>
      <c r="I93" s="4">
        <v>12.91</v>
      </c>
      <c r="J93" s="4">
        <v>13.64</v>
      </c>
      <c r="K93" s="4">
        <v>14.31</v>
      </c>
      <c r="L93" s="4">
        <v>14.23</v>
      </c>
      <c r="M93" s="4">
        <v>13.49</v>
      </c>
      <c r="N93" s="4">
        <v>13.9</v>
      </c>
      <c r="O93" s="4">
        <v>14.18</v>
      </c>
      <c r="P93" s="4">
        <v>14.04</v>
      </c>
      <c r="Q93" s="4">
        <v>14.81</v>
      </c>
      <c r="R93" s="4">
        <v>14.09</v>
      </c>
      <c r="S93" s="4">
        <v>13.76</v>
      </c>
      <c r="T93" s="4">
        <v>14.74</v>
      </c>
      <c r="U93" s="4">
        <v>13.46</v>
      </c>
      <c r="V93" s="4">
        <v>13.47</v>
      </c>
      <c r="W93" s="4">
        <v>13.92</v>
      </c>
      <c r="X93" s="4">
        <v>14.12</v>
      </c>
      <c r="Y93" s="4">
        <v>13.57</v>
      </c>
      <c r="Z93" s="4">
        <v>13.42</v>
      </c>
      <c r="AA93" s="4">
        <v>14.88</v>
      </c>
      <c r="AB93" s="4">
        <v>14.23</v>
      </c>
      <c r="AC93" s="4">
        <v>14.38</v>
      </c>
      <c r="AD93" s="4">
        <v>14.09</v>
      </c>
      <c r="AE93" s="4">
        <v>12.66</v>
      </c>
      <c r="AF93" s="4">
        <v>12.1</v>
      </c>
      <c r="AG93" s="4">
        <v>11.34</v>
      </c>
      <c r="AH93" s="4">
        <v>11.19</v>
      </c>
      <c r="AI93" s="4">
        <v>10.91</v>
      </c>
      <c r="AJ93" s="4">
        <v>10.59</v>
      </c>
      <c r="AK93" s="4">
        <v>10.69</v>
      </c>
      <c r="AL93" s="4">
        <v>11.28</v>
      </c>
      <c r="AM93" s="4">
        <v>11.42</v>
      </c>
      <c r="AN93" s="4">
        <v>12.7</v>
      </c>
      <c r="AO93" s="4">
        <v>12.64</v>
      </c>
      <c r="AP93" s="4">
        <v>13.35</v>
      </c>
      <c r="AQ93" s="4">
        <v>13.77</v>
      </c>
      <c r="AR93" s="4">
        <v>12.25</v>
      </c>
      <c r="AS93" s="4">
        <v>13.02</v>
      </c>
      <c r="AT93" s="4">
        <v>15.64</v>
      </c>
      <c r="AU93" s="4">
        <v>15.234999999999999</v>
      </c>
      <c r="AV93" s="4">
        <v>15.4</v>
      </c>
      <c r="AW93" s="4">
        <v>15.1</v>
      </c>
      <c r="AX93" s="4">
        <v>15.5</v>
      </c>
      <c r="AY93" s="12">
        <v>14.64</v>
      </c>
      <c r="AZ93" s="12">
        <v>14.11</v>
      </c>
      <c r="BA93" s="12">
        <v>13.28</v>
      </c>
      <c r="BB93" s="15">
        <v>13.75</v>
      </c>
      <c r="BC93" s="52">
        <v>13.7</v>
      </c>
      <c r="BD93" s="52">
        <v>13.17</v>
      </c>
      <c r="BE93" s="52">
        <v>13.33</v>
      </c>
      <c r="BF93" s="52">
        <v>13.57</v>
      </c>
      <c r="BG93" s="67">
        <v>13.29</v>
      </c>
      <c r="BH93" s="52">
        <v>13.04</v>
      </c>
      <c r="BI93" s="52">
        <v>13.46</v>
      </c>
      <c r="BJ93" s="52">
        <v>14.02</v>
      </c>
      <c r="BK93" s="52">
        <v>13.26</v>
      </c>
      <c r="BL93" s="52" cm="1">
        <f t="array" aca="1" ref="BL93" ca="1">_FV(EC93,"Preço")</f>
        <v>13.26</v>
      </c>
      <c r="BM93" s="69" t="s">
        <v>90</v>
      </c>
      <c r="BN93" s="36" cm="1">
        <f t="array" aca="1" ref="BN93" ca="1">_FV(EC93,"Média de volume",TRUE)</f>
        <v>959630</v>
      </c>
      <c r="BO93" s="36">
        <v>678200</v>
      </c>
      <c r="BP93" s="36" cm="1">
        <f t="array" aca="1" ref="BP93" ca="1">_FV(EC93,"Volume")</f>
        <v>678200</v>
      </c>
      <c r="BQ93" s="24" cm="1">
        <f t="array" aca="1" ref="BQ93" ca="1">_FV(EC93,"Beta")</f>
        <v>1.6527000000000001</v>
      </c>
      <c r="BR93" s="71" cm="1">
        <f t="array" aca="1" ref="BR93" ca="1">_FV(EC93,"Variação (%)",TRUE)</f>
        <v>0</v>
      </c>
      <c r="BT93" s="17" cm="1">
        <f t="array" aca="1" ref="BT93" ca="1">_FV(EC93,"Baixo")</f>
        <v>13.11</v>
      </c>
      <c r="BU93" s="17" cm="1">
        <f t="array" aca="1" ref="BU93" ca="1">_FV(EC93,"Alto")</f>
        <v>13.37</v>
      </c>
      <c r="BV93" s="24"/>
      <c r="BW93" s="63">
        <f ca="1">SQRT(22.5*(BL93/VLOOKUP(BM93,Fundamentus!A:U,3,FALSE))*(BL93/VLOOKUP(BM93,Fundamentus!A:U,4,FALSE)))</f>
        <v>31.511938357329665</v>
      </c>
      <c r="BY93" s="62">
        <f t="shared" ca="1" si="112"/>
        <v>0</v>
      </c>
      <c r="BZ93" s="8"/>
      <c r="CA93" s="61">
        <f t="shared" si="113"/>
        <v>10.59</v>
      </c>
      <c r="CB93" s="61">
        <f t="shared" si="114"/>
        <v>15.64</v>
      </c>
      <c r="CC93" s="61">
        <f t="shared" si="115"/>
        <v>13.475793650793651</v>
      </c>
      <c r="CD93" s="14"/>
      <c r="CE93" s="35">
        <f t="shared" si="98"/>
        <v>12.890316098418547</v>
      </c>
      <c r="CF93" s="15">
        <f t="shared" si="116"/>
        <v>13.506000000000085</v>
      </c>
      <c r="CG93" s="35">
        <f t="shared" si="99"/>
        <v>14.121683901581624</v>
      </c>
      <c r="CI93" s="14"/>
      <c r="CJ93" s="17">
        <f t="shared" si="100"/>
        <v>6.1433333333333309</v>
      </c>
      <c r="CK93" s="17">
        <f t="shared" si="101"/>
        <v>8.3666666666666654</v>
      </c>
      <c r="CL93" s="17">
        <f t="shared" si="102"/>
        <v>11.193333333333332</v>
      </c>
      <c r="CM93" s="38">
        <f t="shared" si="117"/>
        <v>13.416666666666666</v>
      </c>
      <c r="CN93" s="17">
        <f t="shared" si="103"/>
        <v>16.243333333333332</v>
      </c>
      <c r="CO93" s="17">
        <f t="shared" si="104"/>
        <v>18.466666666666669</v>
      </c>
      <c r="CP93" s="17">
        <f t="shared" si="105"/>
        <v>21.293333333333333</v>
      </c>
      <c r="CQ93" s="2" cm="1">
        <f t="array" aca="1" ref="CQ93" ca="1">MAX(_xlfn._xlws.FILTER(CJ93:CP93,CJ93:CP93&lt;BL93))</f>
        <v>11.193333333333332</v>
      </c>
      <c r="CR93" s="2" cm="1">
        <f t="array" aca="1" ref="CR93" ca="1">MIN(_xlfn._xlws.FILTER($CJ93:$CP93,$CJ93:$CP93&gt;BL93))</f>
        <v>13.416666666666666</v>
      </c>
      <c r="CS93" s="16">
        <f t="shared" ca="1" si="119"/>
        <v>0.1986301369863015</v>
      </c>
      <c r="CT93" s="20">
        <f t="shared" ca="1" si="120"/>
        <v>-9.9315068493150749E-2</v>
      </c>
      <c r="CU93" s="20">
        <f t="shared" ca="1" si="121"/>
        <v>-6.6210045662100495E-2</v>
      </c>
      <c r="CV93" s="20">
        <f t="shared" ca="1" si="122"/>
        <v>-3.9726027397260298E-2</v>
      </c>
      <c r="CW93" s="20">
        <f t="shared" ca="1" si="123"/>
        <v>-2.2070015220700165E-2</v>
      </c>
      <c r="CX93" s="20">
        <f t="shared" ca="1" si="124"/>
        <v>-1.1684125705076558E-2</v>
      </c>
      <c r="CY93" s="20">
        <f t="shared" ca="1" si="125"/>
        <v>-6.0190950601909541E-3</v>
      </c>
      <c r="CZ93" s="20">
        <f t="shared" ca="1" si="126"/>
        <v>-3.0558482613277154E-3</v>
      </c>
      <c r="DA93" s="21">
        <f t="shared" ca="1" si="127"/>
        <v>3.0558482613277154E-3</v>
      </c>
      <c r="DB93" s="21">
        <f t="shared" ca="1" si="128"/>
        <v>6.0190950601909541E-3</v>
      </c>
      <c r="DC93" s="21">
        <f t="shared" ca="1" si="129"/>
        <v>1.1684125705076558E-2</v>
      </c>
      <c r="DD93" s="21">
        <f t="shared" ca="1" si="130"/>
        <v>2.2070015220700165E-2</v>
      </c>
      <c r="DE93" s="21">
        <f t="shared" ca="1" si="131"/>
        <v>3.9726027397260298E-2</v>
      </c>
      <c r="DF93" s="21">
        <f t="shared" ca="1" si="132"/>
        <v>6.6210045662100495E-2</v>
      </c>
      <c r="DG93" s="21">
        <f t="shared" ca="1" si="133"/>
        <v>9.9315068493150749E-2</v>
      </c>
      <c r="DI93" s="16" cm="1">
        <f t="array" aca="1" ref="DI93" ca="1">MAX(_xlfn._xlws.FILTER(CT93:DG93,CT93:DG93&lt;BR93))</f>
        <v>-3.0558482613277154E-3</v>
      </c>
      <c r="DJ93" s="16" cm="1">
        <f t="array" aca="1" ref="DJ93" ca="1">MIN(_xlfn._xlws.FILTER(CT93:DG93,CT93:DG93&gt;BR93))</f>
        <v>3.0558482613277154E-3</v>
      </c>
      <c r="DK93" s="2" cm="1">
        <f t="array" aca="1" ref="DK93" ca="1">_FV(EC93,"Fechamento anterior",TRUE)</f>
        <v>13.26</v>
      </c>
      <c r="DL93" s="28">
        <f t="shared" ca="1" si="106"/>
        <v>0.5</v>
      </c>
      <c r="DM93" s="15">
        <f t="shared" ca="1" si="134"/>
        <v>13.219479452054795</v>
      </c>
      <c r="DN93" s="15">
        <f t="shared" ca="1" si="135"/>
        <v>13.300520547945204</v>
      </c>
      <c r="DO93" s="9"/>
      <c r="DP93" s="9"/>
      <c r="DQ93" s="9"/>
      <c r="DR93" s="89">
        <v>9.085004861603841E-3</v>
      </c>
      <c r="DS93" s="89">
        <v>1.0253764123733166E-2</v>
      </c>
      <c r="DT93" s="89">
        <v>1.1016116591564155E-2</v>
      </c>
      <c r="DU93" s="89">
        <v>6.1116965226554309E-3</v>
      </c>
      <c r="DV93" s="89">
        <f t="shared" ca="1" si="107"/>
        <v>6.1116965226554309E-3</v>
      </c>
      <c r="DW93" s="72">
        <f t="shared" ca="1" si="108"/>
        <v>-0.39955568006272835</v>
      </c>
      <c r="DX93" s="37"/>
      <c r="DY93" s="35">
        <f t="shared" si="118"/>
        <v>0.30784195079076987</v>
      </c>
      <c r="DZ93" s="56"/>
      <c r="EA93" s="56"/>
      <c r="EC93" s="2" t="e" vm="93">
        <v>#VALUE!</v>
      </c>
      <c r="EE93" s="10" cm="1">
        <f t="array" aca="1" ref="EE93" ca="1">_FV(EC93,"Ações em circulação",TRUE)</f>
        <v>220989100</v>
      </c>
      <c r="EF93" s="18">
        <f>VLOOKUP(BM93,Fundamentus!A:U,5,FALSE)</f>
        <v>1.7989999999999999</v>
      </c>
      <c r="EG93" s="2">
        <f t="shared" ca="1" si="109"/>
        <v>1628857957.754308</v>
      </c>
      <c r="EH93" s="17">
        <v>468296662.8543635</v>
      </c>
      <c r="EI93" s="17">
        <f t="shared" ca="1" si="110"/>
        <v>468296662.8543635</v>
      </c>
      <c r="EK93" s="16">
        <f t="shared" ca="1" si="97"/>
        <v>0</v>
      </c>
      <c r="EL93" s="32" t="str">
        <f>IF(VLOOKUP(BM93,Fundamentus!A:U,3,FALSE)&lt;15,"Bom",IF(VLOOKUP(BM93,Fundamentus!A:U,3,FALSE)&gt;15,"Ruim","n/a"))</f>
        <v>Bom</v>
      </c>
      <c r="EM93" s="28" t="str">
        <f>IF(VLOOKUP(BM93,Fundamentus!A:U,4,FALSE)&lt;1,"Baixo",IF(VLOOKUP(BM93,Fundamentus!A:U,4,FALSE)&lt;1.5,"Moderado",IF(VLOOKUP(BM93,Fundamentus!A:U,4,FALSE)&gt;1.5,"Alto","n/a")))</f>
        <v>Baixo</v>
      </c>
      <c r="EN93" s="17" t="str">
        <f>IF(VLOOKUP(BM93,Fundamentus!A:U,8,FALSE)&lt;0,"Risco elevado",IF(VLOOKUP(BM93,Fundamentus!A:U,8,FALSE)&lt;1,"Saudável",IF(VLOOKUP(BM93,Fundamentus!A:U,8,FALSE)&lt;3,"Estável",IF(VLOOKUP(BM93,Fundamentus!A:U,8,FALSE)&gt;3,"Alerta","n/a"))))</f>
        <v>Estável</v>
      </c>
      <c r="EO93" s="28" t="str">
        <f t="shared" si="111"/>
        <v>Bom</v>
      </c>
      <c r="EP93" s="17" t="str">
        <f>IF(VLOOKUP(BM93,Fundamentus!A:U,12,FALSE)&lt;2,"Subvalorizada",IF(VLOOKUP(BM93,Fundamentus!A:U,12,FALSE)&lt;6,"Muita barata",IF(VLOOKUP(BM93,Fundamentus!A:U,12,FALSE)&lt;6,"Barata",IF(VLOOKUP(BM93,Fundamentus!A:U,12,FALSE)&lt;8,"Atrativa",IF(VLOOKUP(BM93,Fundamentus!A:U,12,FALSE)&gt;8,"Supervalorizada","n/a")))))</f>
        <v>Supervalorizada</v>
      </c>
      <c r="ER93" s="17" t="str">
        <f>IF(VLOOKUP(BM93,Fundamentus!A:U,17,FALSE)&lt;0.1,"Fraco retorno",IF(VLOOKUP(BM93,Fundamentus!A:U,17,FALSE)&gt;0.1,"Bom retorno","n/a"))</f>
        <v>Fraco retorno</v>
      </c>
      <c r="ES93" s="17" t="str">
        <f>IF(VLOOKUP(BM93,Fundamentus!A:U,16,FALSE)&lt;0.1,"Ineficiente",IF(VLOOKUP(BM93,Fundamentus!A:U,16,FALSE)&gt;0.1,"Eficiente","n/a"))</f>
        <v>Ineficiente</v>
      </c>
      <c r="ET93" s="33" t="str">
        <f>IF(VLOOKUP(BM93,Fundamentus!A:U,16,FALSE)&lt;0.1,"Oper. Ineficiente",IF(VLOOKUP(BM93,Fundamentus!A:U,16,FALSE)&gt;0.1,"Oper.Eficiente","n/a"))</f>
        <v>Oper. Ineficiente</v>
      </c>
      <c r="EU93" s="34">
        <f>VLOOKUP(BM93,Fundamentus!A:U,14,FALSE)</f>
        <v>0.28749999999999998</v>
      </c>
      <c r="EV93" s="17" t="str">
        <f>IF(VLOOKUP(BM93,Fundamentus!A:U,21,FALSE)&lt;0,"Negativo",IF(VLOOKUP(BM93,Fundamentus!A:U,21,FALSE)&lt;0.05,"Fraco",IF(VLOOKUP(BM93,Fundamentus!A:U,21,FALSE)&lt;0.1,"Bom",IF(VLOOKUP(BM93,Fundamentus!A:U,21,FALSE)&gt;0.1,"Muito bom","n/a"))))</f>
        <v>Muito bom</v>
      </c>
      <c r="EX93" s="29" t="str">
        <f>IF(VLOOKUP(BM93,Fundamentus!A:U,15,FALSE)&gt;1,"Bom",IF(VLOOKUP(BM93,Fundamentus!A:U,15,FALSE)&lt;1,"Ruim","n/a"))</f>
        <v>Bom</v>
      </c>
      <c r="EY93" s="17" t="str">
        <f>IF(VLOOKUP(BM93,Fundamentus!A:U,20,FALSE)&lt;0.5,"Baixa",IF(VLOOKUP(BM93,Fundamentus!A:U,20,FALSE)&lt;1,"Moderada",IF(VLOOKUP(BM93,Fundamentus!A:U,20,FALSE)&lt;2,"Alerta",IF(VLOOKUP(BM93,Fundamentus!A:U,20,FALSE)&gt;2,"Alta","n/a"))))</f>
        <v>Baixa</v>
      </c>
      <c r="EZ93" s="10"/>
    </row>
    <row r="94" spans="1:156" s="2" customFormat="1" ht="11.25" x14ac:dyDescent="0.2">
      <c r="A94" s="4">
        <v>59.17</v>
      </c>
      <c r="B94" s="4">
        <v>52.7</v>
      </c>
      <c r="C94" s="4">
        <v>51.45</v>
      </c>
      <c r="D94" s="4">
        <v>48.94</v>
      </c>
      <c r="E94" s="4">
        <v>48.66</v>
      </c>
      <c r="F94" s="4">
        <v>48.65</v>
      </c>
      <c r="G94" s="4">
        <v>48.97</v>
      </c>
      <c r="H94" s="4">
        <v>48.85</v>
      </c>
      <c r="I94" s="4">
        <v>56.98</v>
      </c>
      <c r="J94" s="4">
        <v>54.75</v>
      </c>
      <c r="K94" s="4">
        <v>52.3</v>
      </c>
      <c r="L94" s="4">
        <v>53.6</v>
      </c>
      <c r="M94" s="4">
        <v>51.79</v>
      </c>
      <c r="N94" s="4">
        <v>53</v>
      </c>
      <c r="O94" s="4">
        <v>54.5</v>
      </c>
      <c r="P94" s="4">
        <v>54.38</v>
      </c>
      <c r="Q94" s="4">
        <v>56.08</v>
      </c>
      <c r="R94" s="4">
        <v>55</v>
      </c>
      <c r="S94" s="4">
        <v>54.37</v>
      </c>
      <c r="T94" s="4">
        <v>54.29</v>
      </c>
      <c r="U94" s="4">
        <v>52.34</v>
      </c>
      <c r="V94" s="4">
        <v>54.38</v>
      </c>
      <c r="W94" s="4">
        <v>55.75</v>
      </c>
      <c r="X94" s="4">
        <v>54.2</v>
      </c>
      <c r="Y94" s="4">
        <v>57.42</v>
      </c>
      <c r="Z94" s="4">
        <v>59</v>
      </c>
      <c r="AA94" s="4">
        <v>59.99</v>
      </c>
      <c r="AB94" s="4">
        <v>58.4</v>
      </c>
      <c r="AC94" s="4">
        <v>60.55</v>
      </c>
      <c r="AD94" s="4">
        <v>60.7</v>
      </c>
      <c r="AE94" s="4">
        <v>62.4</v>
      </c>
      <c r="AF94" s="4">
        <v>65.430000000000007</v>
      </c>
      <c r="AG94" s="4">
        <v>62.42</v>
      </c>
      <c r="AH94" s="4">
        <v>61.24</v>
      </c>
      <c r="AI94" s="4">
        <v>61.59</v>
      </c>
      <c r="AJ94" s="4">
        <v>62.68</v>
      </c>
      <c r="AK94" s="4">
        <v>61.44</v>
      </c>
      <c r="AL94" s="4">
        <v>62.28</v>
      </c>
      <c r="AM94" s="4">
        <v>62.76</v>
      </c>
      <c r="AN94" s="4">
        <v>62.37</v>
      </c>
      <c r="AO94" s="4">
        <v>59.52</v>
      </c>
      <c r="AP94" s="4">
        <v>58.85</v>
      </c>
      <c r="AQ94" s="4">
        <v>57.5</v>
      </c>
      <c r="AR94" s="4">
        <v>56.31</v>
      </c>
      <c r="AS94" s="4">
        <v>55.34</v>
      </c>
      <c r="AT94" s="4">
        <v>54.14</v>
      </c>
      <c r="AU94" s="4">
        <v>55.209999999999987</v>
      </c>
      <c r="AV94" s="4">
        <v>53.2</v>
      </c>
      <c r="AW94" s="4">
        <v>50.9</v>
      </c>
      <c r="AX94" s="4">
        <v>51.64</v>
      </c>
      <c r="AY94" s="12">
        <v>51.84</v>
      </c>
      <c r="AZ94" s="12">
        <v>51.28</v>
      </c>
      <c r="BA94" s="12">
        <v>50.08</v>
      </c>
      <c r="BB94" s="15">
        <v>51.47</v>
      </c>
      <c r="BC94" s="52">
        <v>53.82</v>
      </c>
      <c r="BD94" s="52">
        <v>52.96</v>
      </c>
      <c r="BE94" s="52">
        <v>49.65</v>
      </c>
      <c r="BF94" s="52">
        <v>53.42</v>
      </c>
      <c r="BG94" s="67">
        <v>54.11</v>
      </c>
      <c r="BH94" s="52">
        <v>51.87</v>
      </c>
      <c r="BI94" s="52">
        <v>51.15</v>
      </c>
      <c r="BJ94" s="52">
        <v>51.95</v>
      </c>
      <c r="BK94" s="52">
        <v>49.74</v>
      </c>
      <c r="BL94" s="52" cm="1">
        <f t="array" aca="1" ref="BL94" ca="1">_FV(EC94,"Preço")</f>
        <v>49.74</v>
      </c>
      <c r="BM94" s="69" t="s">
        <v>91</v>
      </c>
      <c r="BN94" s="36" cm="1">
        <f t="array" aca="1" ref="BN94" ca="1">_FV(EC94,"Média de volume",TRUE)</f>
        <v>4293370</v>
      </c>
      <c r="BO94" s="36">
        <v>3331300</v>
      </c>
      <c r="BP94" s="36" cm="1">
        <f t="array" aca="1" ref="BP94" ca="1">_FV(EC94,"Volume")</f>
        <v>3331300</v>
      </c>
      <c r="BQ94" s="24" cm="1">
        <f t="array" aca="1" ref="BQ94" ca="1">_FV(EC94,"Beta")</f>
        <v>0.35110000000000002</v>
      </c>
      <c r="BR94" s="71" cm="1">
        <f t="array" aca="1" ref="BR94" ca="1">_FV(EC94,"Variação (%)",TRUE)</f>
        <v>-2.2070000000000002E-3</v>
      </c>
      <c r="BT94" s="17" cm="1">
        <f t="array" aca="1" ref="BT94" ca="1">_FV(EC94,"Baixo")</f>
        <v>49.55</v>
      </c>
      <c r="BU94" s="17" cm="1">
        <f t="array" aca="1" ref="BU94" ca="1">_FV(EC94,"Alto")</f>
        <v>50.1</v>
      </c>
      <c r="BV94" s="24"/>
      <c r="BW94" s="63" t="e">
        <f ca="1">SQRT(22.5*(BL94/VLOOKUP(BM94,Fundamentus!A:U,3,FALSE))*(BL94/VLOOKUP(BM94,Fundamentus!A:U,4,FALSE)))</f>
        <v>#NUM!</v>
      </c>
      <c r="BY94" s="62">
        <f t="shared" ca="1" si="112"/>
        <v>0</v>
      </c>
      <c r="BZ94" s="8"/>
      <c r="CA94" s="61">
        <f t="shared" si="113"/>
        <v>48.65</v>
      </c>
      <c r="CB94" s="61">
        <f t="shared" si="114"/>
        <v>65.430000000000007</v>
      </c>
      <c r="CC94" s="61">
        <f t="shared" si="115"/>
        <v>55.265396825396834</v>
      </c>
      <c r="CD94" s="14"/>
      <c r="CE94" s="35">
        <f t="shared" si="98"/>
        <v>48.033458151815232</v>
      </c>
      <c r="CF94" s="15">
        <f t="shared" si="116"/>
        <v>50.897999999999683</v>
      </c>
      <c r="CG94" s="35">
        <f t="shared" si="99"/>
        <v>53.762541848184135</v>
      </c>
      <c r="CI94" s="14"/>
      <c r="CJ94" s="17">
        <f t="shared" si="100"/>
        <v>28.476666666666667</v>
      </c>
      <c r="CK94" s="17">
        <f t="shared" si="101"/>
        <v>38.563333333333333</v>
      </c>
      <c r="CL94" s="17">
        <f t="shared" si="102"/>
        <v>45.256666666666675</v>
      </c>
      <c r="CM94" s="38">
        <f t="shared" si="117"/>
        <v>55.343333333333341</v>
      </c>
      <c r="CN94" s="17">
        <f t="shared" si="103"/>
        <v>62.036666666666683</v>
      </c>
      <c r="CO94" s="17">
        <f t="shared" si="104"/>
        <v>72.123333333333349</v>
      </c>
      <c r="CP94" s="17">
        <f t="shared" si="105"/>
        <v>78.816666666666691</v>
      </c>
      <c r="CQ94" s="2" cm="1">
        <f t="array" aca="1" ref="CQ94" ca="1">MAX(_xlfn._xlws.FILTER(CJ94:CP94,CJ94:CP94&lt;BL94))</f>
        <v>45.256666666666675</v>
      </c>
      <c r="CR94" s="2" cm="1">
        <f t="array" aca="1" ref="CR94" ca="1">MIN(_xlfn._xlws.FILTER($CJ94:$CP94,$CJ94:$CP94&gt;BL94))</f>
        <v>55.343333333333341</v>
      </c>
      <c r="CS94" s="16">
        <f t="shared" ca="1" si="119"/>
        <v>0.222876924210061</v>
      </c>
      <c r="CT94" s="20">
        <f t="shared" ca="1" si="120"/>
        <v>-0.1114384621050305</v>
      </c>
      <c r="CU94" s="20">
        <f t="shared" ca="1" si="121"/>
        <v>-7.4292308070020338E-2</v>
      </c>
      <c r="CV94" s="20">
        <f t="shared" ca="1" si="122"/>
        <v>-4.4575384842012199E-2</v>
      </c>
      <c r="CW94" s="20">
        <f t="shared" ca="1" si="123"/>
        <v>-2.4764102690006777E-2</v>
      </c>
      <c r="CX94" s="20">
        <f t="shared" ca="1" si="124"/>
        <v>-1.3110407306474177E-2</v>
      </c>
      <c r="CY94" s="20">
        <f t="shared" ca="1" si="125"/>
        <v>-6.7538461881836665E-3</v>
      </c>
      <c r="CZ94" s="20">
        <f t="shared" ca="1" si="126"/>
        <v>-3.4288757570778614E-3</v>
      </c>
      <c r="DA94" s="21">
        <f t="shared" ca="1" si="127"/>
        <v>3.4288757570778614E-3</v>
      </c>
      <c r="DB94" s="21">
        <f t="shared" ca="1" si="128"/>
        <v>6.7538461881836665E-3</v>
      </c>
      <c r="DC94" s="21">
        <f t="shared" ca="1" si="129"/>
        <v>1.3110407306474177E-2</v>
      </c>
      <c r="DD94" s="21">
        <f t="shared" ca="1" si="130"/>
        <v>2.4764102690006777E-2</v>
      </c>
      <c r="DE94" s="21">
        <f t="shared" ca="1" si="131"/>
        <v>4.4575384842012199E-2</v>
      </c>
      <c r="DF94" s="21">
        <f t="shared" ca="1" si="132"/>
        <v>7.4292308070020338E-2</v>
      </c>
      <c r="DG94" s="21">
        <f t="shared" ca="1" si="133"/>
        <v>0.1114384621050305</v>
      </c>
      <c r="DI94" s="16" cm="1">
        <f t="array" aca="1" ref="DI94" ca="1">MAX(_xlfn._xlws.FILTER(CT94:DG94,CT94:DG94&lt;BR94))</f>
        <v>-3.4288757570778614E-3</v>
      </c>
      <c r="DJ94" s="16" cm="1">
        <f t="array" aca="1" ref="DJ94" ca="1">MIN(_xlfn._xlws.FILTER(CT94:DG94,CT94:DG94&gt;BR94))</f>
        <v>3.4288757570778614E-3</v>
      </c>
      <c r="DK94" s="2" cm="1">
        <f t="array" aca="1" ref="DK94" ca="1">_FV(EC94,"Fechamento anterior",TRUE)</f>
        <v>49.85</v>
      </c>
      <c r="DL94" s="28">
        <f t="shared" ca="1" si="106"/>
        <v>0.17822983159658162</v>
      </c>
      <c r="DM94" s="15">
        <f t="shared" ca="1" si="134"/>
        <v>49.679070543509667</v>
      </c>
      <c r="DN94" s="15">
        <f t="shared" ca="1" si="135"/>
        <v>50.020929456490336</v>
      </c>
      <c r="DO94" s="9"/>
      <c r="DP94" s="9"/>
      <c r="DQ94" s="9"/>
      <c r="DR94" s="89">
        <v>8.0201443469339051E-3</v>
      </c>
      <c r="DS94" s="89">
        <v>1.0488122248209263E-2</v>
      </c>
      <c r="DT94" s="89">
        <v>6.8577515141557228E-3</v>
      </c>
      <c r="DU94" s="89">
        <v>6.8577515141557228E-3</v>
      </c>
      <c r="DV94" s="89">
        <f t="shared" ca="1" si="107"/>
        <v>6.8577515141557228E-3</v>
      </c>
      <c r="DW94" s="72">
        <f t="shared" ca="1" si="108"/>
        <v>-0.40425312715665951</v>
      </c>
      <c r="DX94" s="37"/>
      <c r="DY94" s="35">
        <f t="shared" si="118"/>
        <v>1.432270924092226</v>
      </c>
      <c r="DZ94" s="56"/>
      <c r="EA94" s="56"/>
      <c r="EC94" s="2" t="e" vm="94">
        <v>#VALUE!</v>
      </c>
      <c r="EE94" s="10" cm="1">
        <f t="array" aca="1" ref="EE94" ca="1">_FV(EC94,"Ações em circulação",TRUE)</f>
        <v>1264118000</v>
      </c>
      <c r="EF94" s="18">
        <f>VLOOKUP(BM94,Fundamentus!A:U,5,FALSE)</f>
        <v>1.3819999999999999</v>
      </c>
      <c r="EG94" s="2">
        <f t="shared" ca="1" si="109"/>
        <v>45497271577.424026</v>
      </c>
      <c r="EH94" s="17">
        <v>-841699524.18234444</v>
      </c>
      <c r="EI94" s="17">
        <f t="shared" ca="1" si="110"/>
        <v>-841699524.18234444</v>
      </c>
      <c r="EK94" s="16">
        <f t="shared" ca="1" si="97"/>
        <v>0</v>
      </c>
      <c r="EL94" s="32" t="str">
        <f>IF(VLOOKUP(BM94,Fundamentus!A:U,3,FALSE)&lt;15,"Bom",IF(VLOOKUP(BM94,Fundamentus!A:U,3,FALSE)&gt;15,"Ruim","n/a"))</f>
        <v>Bom</v>
      </c>
      <c r="EM94" s="28" t="str">
        <f>IF(VLOOKUP(BM94,Fundamentus!A:U,4,FALSE)&lt;1,"Baixo",IF(VLOOKUP(BM94,Fundamentus!A:U,4,FALSE)&lt;1.5,"Moderado",IF(VLOOKUP(BM94,Fundamentus!A:U,4,FALSE)&gt;1.5,"Alto","n/a")))</f>
        <v>Alto</v>
      </c>
      <c r="EN94" s="17" t="str">
        <f>IF(VLOOKUP(BM94,Fundamentus!A:U,8,FALSE)&lt;0,"Risco elevado",IF(VLOOKUP(BM94,Fundamentus!A:U,8,FALSE)&lt;1,"Saudável",IF(VLOOKUP(BM94,Fundamentus!A:U,8,FALSE)&lt;3,"Estável",IF(VLOOKUP(BM94,Fundamentus!A:U,8,FALSE)&gt;3,"Alerta","n/a"))))</f>
        <v>Alerta</v>
      </c>
      <c r="EO94" s="28" t="str">
        <f t="shared" si="111"/>
        <v>Bom</v>
      </c>
      <c r="EP94" s="17" t="str">
        <f>IF(VLOOKUP(BM94,Fundamentus!A:U,12,FALSE)&lt;2,"Subvalorizada",IF(VLOOKUP(BM94,Fundamentus!A:U,12,FALSE)&lt;6,"Muita barata",IF(VLOOKUP(BM94,Fundamentus!A:U,12,FALSE)&lt;6,"Barata",IF(VLOOKUP(BM94,Fundamentus!A:U,12,FALSE)&lt;8,"Atrativa",IF(VLOOKUP(BM94,Fundamentus!A:U,12,FALSE)&gt;8,"Supervalorizada","n/a")))))</f>
        <v>Muita barata</v>
      </c>
      <c r="ER94" s="17" t="str">
        <f>IF(VLOOKUP(BM94,Fundamentus!A:U,17,FALSE)&lt;0.1,"Fraco retorno",IF(VLOOKUP(BM94,Fundamentus!A:U,17,FALSE)&gt;0.1,"Bom retorno","n/a"))</f>
        <v>Fraco retorno</v>
      </c>
      <c r="ES94" s="17" t="str">
        <f>IF(VLOOKUP(BM94,Fundamentus!A:U,16,FALSE)&lt;0.1,"Ineficiente",IF(VLOOKUP(BM94,Fundamentus!A:U,16,FALSE)&gt;0.1,"Eficiente","n/a"))</f>
        <v>Eficiente</v>
      </c>
      <c r="ET94" s="33" t="str">
        <f>IF(VLOOKUP(BM94,Fundamentus!A:U,16,FALSE)&lt;0.1,"Oper. Ineficiente",IF(VLOOKUP(BM94,Fundamentus!A:U,16,FALSE)&gt;0.1,"Oper.Eficiente","n/a"))</f>
        <v>Oper.Eficiente</v>
      </c>
      <c r="EU94" s="34">
        <f>VLOOKUP(BM94,Fundamentus!A:U,14,FALSE)</f>
        <v>-1.8499999999999999E-2</v>
      </c>
      <c r="EV94" s="17" t="str">
        <f>IF(VLOOKUP(BM94,Fundamentus!A:U,21,FALSE)&lt;0,"Negativo",IF(VLOOKUP(BM94,Fundamentus!A:U,21,FALSE)&lt;0.05,"Fraco",IF(VLOOKUP(BM94,Fundamentus!A:U,21,FALSE)&lt;0.1,"Bom",IF(VLOOKUP(BM94,Fundamentus!A:U,21,FALSE)&gt;0.1,"Muito bom","n/a"))))</f>
        <v>Bom</v>
      </c>
      <c r="EX94" s="29" t="str">
        <f>IF(VLOOKUP(BM94,Fundamentus!A:U,15,FALSE)&gt;1,"Bom",IF(VLOOKUP(BM94,Fundamentus!A:U,15,FALSE)&lt;1,"Ruim","n/a"))</f>
        <v>Bom</v>
      </c>
      <c r="EY94" s="17" t="str">
        <f>IF(VLOOKUP(BM94,Fundamentus!A:U,20,FALSE)&lt;0.5,"Baixa",IF(VLOOKUP(BM94,Fundamentus!A:U,20,FALSE)&lt;1,"Moderada",IF(VLOOKUP(BM94,Fundamentus!A:U,20,FALSE)&lt;2,"Alerta",IF(VLOOKUP(BM94,Fundamentus!A:U,20,FALSE)&gt;2,"Alta","n/a"))))</f>
        <v>Alta</v>
      </c>
      <c r="EZ94" s="10"/>
    </row>
    <row r="95" spans="1:156" s="2" customFormat="1" ht="11.25" x14ac:dyDescent="0.2">
      <c r="A95" s="4">
        <v>26</v>
      </c>
      <c r="B95" s="4">
        <v>28.65</v>
      </c>
      <c r="C95" s="4">
        <v>26.34</v>
      </c>
      <c r="D95" s="4">
        <v>26.69</v>
      </c>
      <c r="E95" s="4">
        <v>26.89</v>
      </c>
      <c r="F95" s="4">
        <v>27.6</v>
      </c>
      <c r="G95" s="4">
        <v>26.4</v>
      </c>
      <c r="H95" s="4">
        <v>26.2</v>
      </c>
      <c r="I95" s="4">
        <v>27.65</v>
      </c>
      <c r="J95" s="4">
        <v>28.31</v>
      </c>
      <c r="K95" s="4">
        <v>29.65</v>
      </c>
      <c r="L95" s="4">
        <v>31</v>
      </c>
      <c r="M95" s="4">
        <v>33.75</v>
      </c>
      <c r="N95" s="4">
        <v>34.1</v>
      </c>
      <c r="O95" s="4">
        <v>36.6</v>
      </c>
      <c r="P95" s="4">
        <v>36.71</v>
      </c>
      <c r="Q95" s="4">
        <v>38.86</v>
      </c>
      <c r="R95" s="4">
        <v>39</v>
      </c>
      <c r="S95" s="4">
        <v>39.18</v>
      </c>
      <c r="T95" s="4">
        <v>41.9</v>
      </c>
      <c r="U95" s="4">
        <v>41.56</v>
      </c>
      <c r="V95" s="4">
        <v>40.200000000000003</v>
      </c>
      <c r="W95" s="4">
        <v>38.909999999999997</v>
      </c>
      <c r="X95" s="4">
        <v>39.58</v>
      </c>
      <c r="Y95" s="4">
        <v>38.39</v>
      </c>
      <c r="Z95" s="4">
        <v>41.07</v>
      </c>
      <c r="AA95" s="4">
        <v>43.87</v>
      </c>
      <c r="AB95" s="4">
        <v>38.69</v>
      </c>
      <c r="AC95" s="4">
        <v>37.369999999999997</v>
      </c>
      <c r="AD95" s="4">
        <v>40.75</v>
      </c>
      <c r="AE95" s="4">
        <v>39.700000000000003</v>
      </c>
      <c r="AF95" s="4">
        <v>39.56</v>
      </c>
      <c r="AG95" s="4">
        <v>37.14</v>
      </c>
      <c r="AH95" s="4">
        <v>36.6</v>
      </c>
      <c r="AI95" s="4">
        <v>37.53</v>
      </c>
      <c r="AJ95" s="4">
        <v>38.78</v>
      </c>
      <c r="AK95" s="4">
        <v>37.21</v>
      </c>
      <c r="AL95" s="4">
        <v>37.22</v>
      </c>
      <c r="AM95" s="4">
        <v>38.090000000000003</v>
      </c>
      <c r="AN95" s="4">
        <v>38.15</v>
      </c>
      <c r="AO95" s="4">
        <v>37.86</v>
      </c>
      <c r="AP95" s="4">
        <v>38.58</v>
      </c>
      <c r="AQ95" s="4">
        <v>38.49</v>
      </c>
      <c r="AR95" s="4">
        <v>37.51</v>
      </c>
      <c r="AS95" s="4">
        <v>37.78</v>
      </c>
      <c r="AT95" s="4">
        <v>37.200000000000003</v>
      </c>
      <c r="AU95" s="4">
        <v>37.744999999999997</v>
      </c>
      <c r="AV95" s="4">
        <v>37.21</v>
      </c>
      <c r="AW95" s="4">
        <v>34.479999999999997</v>
      </c>
      <c r="AX95" s="4">
        <v>32.33</v>
      </c>
      <c r="AY95" s="12">
        <v>33.32</v>
      </c>
      <c r="AZ95" s="12">
        <v>34.68</v>
      </c>
      <c r="BA95" s="12">
        <v>35.28</v>
      </c>
      <c r="BB95" s="15">
        <v>33.08</v>
      </c>
      <c r="BC95" s="52">
        <v>37.44</v>
      </c>
      <c r="BD95" s="52">
        <v>39.47</v>
      </c>
      <c r="BE95" s="52">
        <v>39.590000000000003</v>
      </c>
      <c r="BF95" s="52">
        <v>39.68</v>
      </c>
      <c r="BG95" s="67">
        <v>40.6</v>
      </c>
      <c r="BH95" s="52">
        <v>40</v>
      </c>
      <c r="BI95" s="52">
        <v>40.01</v>
      </c>
      <c r="BJ95" s="52">
        <v>39.5</v>
      </c>
      <c r="BK95" s="52">
        <v>39.159999999999997</v>
      </c>
      <c r="BL95" s="52" cm="1">
        <f t="array" aca="1" ref="BL95" ca="1">_FV(EC95,"Preço")</f>
        <v>39.159999999999997</v>
      </c>
      <c r="BM95" s="70" t="s">
        <v>92</v>
      </c>
      <c r="BN95" s="36" cm="1">
        <f t="array" aca="1" ref="BN95" ca="1">_FV(EC95,"Média de volume",TRUE)</f>
        <v>9680</v>
      </c>
      <c r="BO95" s="36">
        <v>7900</v>
      </c>
      <c r="BP95" s="36" cm="1">
        <f t="array" aca="1" ref="BP95" ca="1">_FV(EC95,"Volume")</f>
        <v>7900</v>
      </c>
      <c r="BQ95" s="24" cm="1">
        <f t="array" aca="1" ref="BQ95" ca="1">_FV(EC95,"Beta")</f>
        <v>0.11749999999999999</v>
      </c>
      <c r="BR95" s="71" cm="1">
        <f t="array" aca="1" ref="BR95" ca="1">_FV(EC95,"Variação (%)",TRUE)</f>
        <v>-1.0199999999999999E-3</v>
      </c>
      <c r="BT95" s="17" cm="1">
        <f t="array" aca="1" ref="BT95" ca="1">_FV(EC95,"Baixo")</f>
        <v>39.04</v>
      </c>
      <c r="BU95" s="17" cm="1">
        <f t="array" aca="1" ref="BU95" ca="1">_FV(EC95,"Alto")</f>
        <v>39.49</v>
      </c>
      <c r="BV95" s="24"/>
      <c r="BW95" s="63">
        <f ca="1">SQRT(22.5*(BL95/VLOOKUP(BM95,Fundamentus!A:U,3,FALSE))*(BL95/VLOOKUP(BM95,Fundamentus!A:U,4,FALSE)))</f>
        <v>54.621185724598554</v>
      </c>
      <c r="BY95" s="62">
        <f t="shared" ca="1" si="112"/>
        <v>0</v>
      </c>
      <c r="BZ95" s="8"/>
      <c r="CA95" s="61">
        <f t="shared" si="113"/>
        <v>26</v>
      </c>
      <c r="CB95" s="61">
        <f t="shared" si="114"/>
        <v>43.87</v>
      </c>
      <c r="CC95" s="61">
        <f t="shared" si="115"/>
        <v>36.07690476190475</v>
      </c>
      <c r="CD95" s="14"/>
      <c r="CE95" s="35">
        <f t="shared" si="98"/>
        <v>38.608861642305946</v>
      </c>
      <c r="CF95" s="15">
        <f t="shared" si="116"/>
        <v>39.516000000000076</v>
      </c>
      <c r="CG95" s="35">
        <f t="shared" si="99"/>
        <v>40.423138357694206</v>
      </c>
      <c r="CI95" s="14"/>
      <c r="CJ95" s="17">
        <f t="shared" si="100"/>
        <v>11.173333333333346</v>
      </c>
      <c r="CK95" s="17">
        <f t="shared" si="101"/>
        <v>18.586666666666673</v>
      </c>
      <c r="CL95" s="17">
        <f t="shared" si="102"/>
        <v>29.043333333333344</v>
      </c>
      <c r="CM95" s="38">
        <f t="shared" si="117"/>
        <v>36.456666666666671</v>
      </c>
      <c r="CN95" s="17">
        <f t="shared" si="103"/>
        <v>46.913333333333341</v>
      </c>
      <c r="CO95" s="17">
        <f t="shared" si="104"/>
        <v>54.326666666666668</v>
      </c>
      <c r="CP95" s="17">
        <f t="shared" si="105"/>
        <v>64.783333333333331</v>
      </c>
      <c r="CQ95" s="2" cm="1">
        <f t="array" aca="1" ref="CQ95" ca="1">MAX(_xlfn._xlws.FILTER(CJ95:CP95,CJ95:CP95&lt;BL95))</f>
        <v>36.456666666666671</v>
      </c>
      <c r="CR95" s="2" cm="1">
        <f t="array" aca="1" ref="CR95" ca="1">MIN(_xlfn._xlws.FILTER($CJ95:$CP95,$CJ95:$CP95&gt;BL95))</f>
        <v>46.913333333333341</v>
      </c>
      <c r="CS95" s="16">
        <f t="shared" ca="1" si="119"/>
        <v>0.28682454055042528</v>
      </c>
      <c r="CT95" s="20">
        <f t="shared" ca="1" si="120"/>
        <v>-0.14341227027521264</v>
      </c>
      <c r="CU95" s="20">
        <f t="shared" ca="1" si="121"/>
        <v>-9.5608180183475097E-2</v>
      </c>
      <c r="CV95" s="20">
        <f t="shared" ca="1" si="122"/>
        <v>-5.7364908110085058E-2</v>
      </c>
      <c r="CW95" s="20">
        <f t="shared" ca="1" si="123"/>
        <v>-3.1869393394491699E-2</v>
      </c>
      <c r="CX95" s="20">
        <f t="shared" ca="1" si="124"/>
        <v>-1.6872031797083839E-2</v>
      </c>
      <c r="CY95" s="20">
        <f t="shared" ca="1" si="125"/>
        <v>-8.6916527439522811E-3</v>
      </c>
      <c r="CZ95" s="20">
        <f t="shared" ca="1" si="126"/>
        <v>-4.4126852392373118E-3</v>
      </c>
      <c r="DA95" s="21">
        <f t="shared" ca="1" si="127"/>
        <v>4.4126852392373118E-3</v>
      </c>
      <c r="DB95" s="21">
        <f t="shared" ca="1" si="128"/>
        <v>8.6916527439522811E-3</v>
      </c>
      <c r="DC95" s="21">
        <f t="shared" ca="1" si="129"/>
        <v>1.6872031797083839E-2</v>
      </c>
      <c r="DD95" s="21">
        <f t="shared" ca="1" si="130"/>
        <v>3.1869393394491699E-2</v>
      </c>
      <c r="DE95" s="21">
        <f t="shared" ca="1" si="131"/>
        <v>5.7364908110085058E-2</v>
      </c>
      <c r="DF95" s="21">
        <f t="shared" ca="1" si="132"/>
        <v>9.5608180183475097E-2</v>
      </c>
      <c r="DG95" s="21">
        <f t="shared" ca="1" si="133"/>
        <v>0.14341227027521264</v>
      </c>
      <c r="DI95" s="16" cm="1">
        <f t="array" aca="1" ref="DI95" ca="1">MAX(_xlfn._xlws.FILTER(CT95:DG95,CT95:DG95&lt;BR95))</f>
        <v>-4.4126852392373118E-3</v>
      </c>
      <c r="DJ95" s="16" cm="1">
        <f t="array" aca="1" ref="DJ95" ca="1">MIN(_xlfn._xlws.FILTER(CT95:DG95,CT95:DG95&gt;BR95))</f>
        <v>4.4126852392373118E-3</v>
      </c>
      <c r="DK95" s="2" cm="1">
        <f t="array" aca="1" ref="DK95" ca="1">_FV(EC95,"Fechamento anterior",TRUE)</f>
        <v>39.200000000000003</v>
      </c>
      <c r="DL95" s="28">
        <f t="shared" ca="1" si="106"/>
        <v>0.38437786654347422</v>
      </c>
      <c r="DM95" s="15">
        <f t="shared" ca="1" si="134"/>
        <v>39.027022738621902</v>
      </c>
      <c r="DN95" s="15">
        <f t="shared" ca="1" si="135"/>
        <v>39.372977261378104</v>
      </c>
      <c r="DO95" s="9"/>
      <c r="DP95" s="9"/>
      <c r="DQ95" s="9"/>
      <c r="DR95" s="89">
        <v>8.9618659938998368E-3</v>
      </c>
      <c r="DS95" s="89">
        <v>8.3829148733647676E-3</v>
      </c>
      <c r="DT95" s="89">
        <v>8.180379053131558E-3</v>
      </c>
      <c r="DU95" s="89">
        <v>8.8253704784746236E-3</v>
      </c>
      <c r="DV95" s="89">
        <f t="shared" ca="1" si="107"/>
        <v>8.8253704784746236E-3</v>
      </c>
      <c r="DW95" s="72">
        <f t="shared" ca="1" si="108"/>
        <v>-0.39244289140743871</v>
      </c>
      <c r="DX95" s="37"/>
      <c r="DY95" s="35">
        <f t="shared" si="118"/>
        <v>0.45356917884706521</v>
      </c>
      <c r="DZ95" s="56"/>
      <c r="EA95" s="56"/>
      <c r="EC95" s="2" t="e" vm="95">
        <v>#VALUE!</v>
      </c>
      <c r="EE95" s="10" cm="1">
        <f t="array" aca="1" ref="EE95" ca="1">_FV(EC95,"Ações em circulação",TRUE)</f>
        <v>104831600</v>
      </c>
      <c r="EF95" s="18">
        <f>VLOOKUP(BM95,Fundamentus!A:U,5,FALSE)</f>
        <v>0</v>
      </c>
      <c r="EG95" s="2" t="e">
        <f t="shared" ca="1" si="109"/>
        <v>#DIV/0!</v>
      </c>
      <c r="EH95" s="17" t="e">
        <v>#DIV/0!</v>
      </c>
      <c r="EI95" s="17" t="e">
        <f t="shared" ca="1" si="110"/>
        <v>#DIV/0!</v>
      </c>
      <c r="EK95" s="16" t="e">
        <f t="shared" ca="1" si="97"/>
        <v>#DIV/0!</v>
      </c>
      <c r="EL95" s="32" t="str">
        <f>IF(VLOOKUP(BM95,Fundamentus!A:U,3,FALSE)&lt;15,"Bom",IF(VLOOKUP(BM95,Fundamentus!A:U,3,FALSE)&gt;15,"Ruim","n/a"))</f>
        <v>Bom</v>
      </c>
      <c r="EM95" s="28" t="str">
        <f>IF(VLOOKUP(BM95,Fundamentus!A:U,4,FALSE)&lt;1,"Baixo",IF(VLOOKUP(BM95,Fundamentus!A:U,4,FALSE)&lt;1.5,"Moderado",IF(VLOOKUP(BM95,Fundamentus!A:U,4,FALSE)&gt;1.5,"Alto","n/a")))</f>
        <v>Alto</v>
      </c>
      <c r="EN95" s="17" t="str">
        <f>IF(VLOOKUP(BM95,Fundamentus!A:U,8,FALSE)&lt;0,"Risco elevado",IF(VLOOKUP(BM95,Fundamentus!A:U,8,FALSE)&lt;1,"Saudável",IF(VLOOKUP(BM95,Fundamentus!A:U,8,FALSE)&lt;3,"Estável",IF(VLOOKUP(BM95,Fundamentus!A:U,8,FALSE)&gt;3,"Alerta","n/a"))))</f>
        <v>Saudável</v>
      </c>
      <c r="EO95" s="28" t="str">
        <f t="shared" si="111"/>
        <v>Ruim</v>
      </c>
      <c r="EP95" s="17" t="str">
        <f>IF(VLOOKUP(BM95,Fundamentus!A:U,12,FALSE)&lt;2,"Subvalorizada",IF(VLOOKUP(BM95,Fundamentus!A:U,12,FALSE)&lt;6,"Muita barata",IF(VLOOKUP(BM95,Fundamentus!A:U,12,FALSE)&lt;6,"Barata",IF(VLOOKUP(BM95,Fundamentus!A:U,12,FALSE)&lt;8,"Atrativa",IF(VLOOKUP(BM95,Fundamentus!A:U,12,FALSE)&gt;8,"Supervalorizada","n/a")))))</f>
        <v>Subvalorizada</v>
      </c>
      <c r="ER95" s="17" t="str">
        <f>IF(VLOOKUP(BM95,Fundamentus!A:U,17,FALSE)&lt;0.1,"Fraco retorno",IF(VLOOKUP(BM95,Fundamentus!A:U,17,FALSE)&gt;0.1,"Bom retorno","n/a"))</f>
        <v>Bom retorno</v>
      </c>
      <c r="ES95" s="17" t="str">
        <f>IF(VLOOKUP(BM95,Fundamentus!A:U,16,FALSE)&lt;0.1,"Ineficiente",IF(VLOOKUP(BM95,Fundamentus!A:U,16,FALSE)&gt;0.1,"Eficiente","n/a"))</f>
        <v>Ineficiente</v>
      </c>
      <c r="ET95" s="33" t="str">
        <f>IF(VLOOKUP(BM95,Fundamentus!A:U,16,FALSE)&lt;0.1,"Oper. Ineficiente",IF(VLOOKUP(BM95,Fundamentus!A:U,16,FALSE)&gt;0.1,"Oper.Eficiente","n/a"))</f>
        <v>Oper. Ineficiente</v>
      </c>
      <c r="EU95" s="34">
        <f>VLOOKUP(BM95,Fundamentus!A:U,14,FALSE)</f>
        <v>0</v>
      </c>
      <c r="EV95" s="17" t="str">
        <f>IF(VLOOKUP(BM95,Fundamentus!A:U,21,FALSE)&lt;0,"Negativo",IF(VLOOKUP(BM95,Fundamentus!A:U,21,FALSE)&lt;0.05,"Fraco",IF(VLOOKUP(BM95,Fundamentus!A:U,21,FALSE)&lt;0.1,"Bom",IF(VLOOKUP(BM95,Fundamentus!A:U,21,FALSE)&gt;0.1,"Muito bom","n/a"))))</f>
        <v>Muito bom</v>
      </c>
      <c r="EX95" s="29" t="str">
        <f>IF(VLOOKUP(BM95,Fundamentus!A:U,15,FALSE)&gt;1,"Bom",IF(VLOOKUP(BM95,Fundamentus!A:U,15,FALSE)&lt;1,"Ruim","n/a"))</f>
        <v>Ruim</v>
      </c>
      <c r="EY95" s="17" t="str">
        <f>IF(VLOOKUP(BM95,Fundamentus!A:U,20,FALSE)&lt;0.5,"Baixa",IF(VLOOKUP(BM95,Fundamentus!A:U,20,FALSE)&lt;1,"Moderada",IF(VLOOKUP(BM95,Fundamentus!A:U,20,FALSE)&lt;2,"Alerta",IF(VLOOKUP(BM95,Fundamentus!A:U,20,FALSE)&gt;2,"Alta","n/a"))))</f>
        <v>Baixa</v>
      </c>
      <c r="EZ95" s="10"/>
    </row>
    <row r="96" spans="1:156" s="2" customFormat="1" ht="11.25" x14ac:dyDescent="0.2">
      <c r="A96" s="4">
        <v>8.9</v>
      </c>
      <c r="B96" s="4">
        <v>8.26</v>
      </c>
      <c r="C96" s="4">
        <v>8.67</v>
      </c>
      <c r="D96" s="4">
        <v>8.35</v>
      </c>
      <c r="E96" s="4">
        <v>8.1300000000000008</v>
      </c>
      <c r="F96" s="4">
        <v>8.26</v>
      </c>
      <c r="G96" s="4">
        <v>8.33</v>
      </c>
      <c r="H96" s="4">
        <v>8.1999999999999993</v>
      </c>
      <c r="I96" s="4">
        <v>8.32</v>
      </c>
      <c r="J96" s="4">
        <v>8.65</v>
      </c>
      <c r="K96" s="4">
        <v>9.1</v>
      </c>
      <c r="L96" s="4">
        <v>8.94</v>
      </c>
      <c r="M96" s="4">
        <v>9.0500000000000007</v>
      </c>
      <c r="N96" s="4">
        <v>9.0399999999999991</v>
      </c>
      <c r="O96" s="4">
        <v>9.2899999999999991</v>
      </c>
      <c r="P96" s="4">
        <v>9.36</v>
      </c>
      <c r="Q96" s="4">
        <v>9.66</v>
      </c>
      <c r="R96" s="4">
        <v>9.3800000000000008</v>
      </c>
      <c r="S96" s="4">
        <v>9.65</v>
      </c>
      <c r="T96" s="4">
        <v>9.7899999999999991</v>
      </c>
      <c r="U96" s="4">
        <v>9.4</v>
      </c>
      <c r="V96" s="4">
        <v>9.09</v>
      </c>
      <c r="W96" s="4">
        <v>9</v>
      </c>
      <c r="X96" s="4">
        <v>9</v>
      </c>
      <c r="Y96" s="4">
        <v>8.7899999999999991</v>
      </c>
      <c r="Z96" s="4">
        <v>8.6999999999999993</v>
      </c>
      <c r="AA96" s="4">
        <v>8.52</v>
      </c>
      <c r="AB96" s="4">
        <v>8.3800000000000008</v>
      </c>
      <c r="AC96" s="4">
        <v>8.5399999999999991</v>
      </c>
      <c r="AD96" s="4">
        <v>8.36</v>
      </c>
      <c r="AE96" s="4">
        <v>8.66</v>
      </c>
      <c r="AF96" s="4">
        <v>8.6</v>
      </c>
      <c r="AG96" s="4">
        <v>8.26</v>
      </c>
      <c r="AH96" s="4">
        <v>8.14</v>
      </c>
      <c r="AI96" s="4">
        <v>8.26</v>
      </c>
      <c r="AJ96" s="4">
        <v>8.1</v>
      </c>
      <c r="AK96" s="4">
        <v>7.93</v>
      </c>
      <c r="AL96" s="4">
        <v>8.32</v>
      </c>
      <c r="AM96" s="4">
        <v>8.32</v>
      </c>
      <c r="AN96" s="4">
        <v>8.67</v>
      </c>
      <c r="AO96" s="4">
        <v>8.77</v>
      </c>
      <c r="AP96" s="4">
        <v>9.2899999999999991</v>
      </c>
      <c r="AQ96" s="4">
        <v>9.18</v>
      </c>
      <c r="AR96" s="4">
        <v>8.91</v>
      </c>
      <c r="AS96" s="4">
        <v>8.9</v>
      </c>
      <c r="AT96" s="4">
        <v>9.42</v>
      </c>
      <c r="AU96" s="4">
        <v>9.4699999999999989</v>
      </c>
      <c r="AV96" s="4">
        <v>9.44</v>
      </c>
      <c r="AW96" s="4">
        <v>9.56</v>
      </c>
      <c r="AX96" s="4">
        <v>9.6300000000000008</v>
      </c>
      <c r="AY96" s="12">
        <v>9.9600000000000009</v>
      </c>
      <c r="AZ96" s="12">
        <v>10.25</v>
      </c>
      <c r="BA96" s="12">
        <v>10.44</v>
      </c>
      <c r="BB96" s="15">
        <v>10.99</v>
      </c>
      <c r="BC96" s="52">
        <v>11.48</v>
      </c>
      <c r="BD96" s="52">
        <v>11.44</v>
      </c>
      <c r="BE96" s="52">
        <v>11.66</v>
      </c>
      <c r="BF96" s="52">
        <v>11.51</v>
      </c>
      <c r="BG96" s="67">
        <v>11.56</v>
      </c>
      <c r="BH96" s="52">
        <v>11.66</v>
      </c>
      <c r="BI96" s="52">
        <v>11.43</v>
      </c>
      <c r="BJ96" s="52">
        <v>11.55</v>
      </c>
      <c r="BK96" s="52">
        <v>11.21</v>
      </c>
      <c r="BL96" s="52" cm="1">
        <f t="array" aca="1" ref="BL96" ca="1">_FV(EC96,"Preço")</f>
        <v>11.21</v>
      </c>
      <c r="BM96" s="69" t="s">
        <v>93</v>
      </c>
      <c r="BN96" s="36" cm="1">
        <f t="array" aca="1" ref="BN96" ca="1">_FV(EC96,"Média de volume",TRUE)</f>
        <v>10141060</v>
      </c>
      <c r="BO96" s="36">
        <v>3859800</v>
      </c>
      <c r="BP96" s="36" cm="1">
        <f t="array" aca="1" ref="BP96" ca="1">_FV(EC96,"Volume")</f>
        <v>3859800</v>
      </c>
      <c r="BQ96" s="24" cm="1">
        <f t="array" aca="1" ref="BQ96" ca="1">_FV(EC96,"Beta")</f>
        <v>0.85680000000000001</v>
      </c>
      <c r="BR96" s="71" cm="1">
        <f t="array" aca="1" ref="BR96" ca="1">_FV(EC96,"Variação (%)",TRUE)</f>
        <v>5.3810000000000004E-3</v>
      </c>
      <c r="BT96" s="17" cm="1">
        <f t="array" aca="1" ref="BT96" ca="1">_FV(EC96,"Baixo")</f>
        <v>11</v>
      </c>
      <c r="BU96" s="17" cm="1">
        <f t="array" aca="1" ref="BU96" ca="1">_FV(EC96,"Alto")</f>
        <v>11.21</v>
      </c>
      <c r="BV96" s="24"/>
      <c r="BW96" s="63">
        <f ca="1">SQRT(22.5*(BL96/VLOOKUP(BM96,Fundamentus!A:U,3,FALSE))*(BL96/VLOOKUP(BM96,Fundamentus!A:U,4,FALSE)))</f>
        <v>13.576342205665986</v>
      </c>
      <c r="BY96" s="62">
        <f t="shared" ca="1" si="112"/>
        <v>0</v>
      </c>
      <c r="BZ96" s="8"/>
      <c r="CA96" s="61">
        <f t="shared" si="113"/>
        <v>7.93</v>
      </c>
      <c r="CB96" s="61">
        <f t="shared" si="114"/>
        <v>11.66</v>
      </c>
      <c r="CC96" s="61">
        <f t="shared" si="115"/>
        <v>9.3028571428571425</v>
      </c>
      <c r="CD96" s="14"/>
      <c r="CE96" s="35">
        <f t="shared" si="98"/>
        <v>11.118471731994394</v>
      </c>
      <c r="CF96" s="15">
        <f t="shared" si="116"/>
        <v>11.400999999999954</v>
      </c>
      <c r="CG96" s="35">
        <f t="shared" si="99"/>
        <v>11.683528268005514</v>
      </c>
      <c r="CI96" s="14"/>
      <c r="CJ96" s="17">
        <f t="shared" si="100"/>
        <v>5.370000000000001</v>
      </c>
      <c r="CK96" s="17">
        <f t="shared" si="101"/>
        <v>6.65</v>
      </c>
      <c r="CL96" s="17">
        <f t="shared" si="102"/>
        <v>9.1000000000000014</v>
      </c>
      <c r="CM96" s="38">
        <f t="shared" si="117"/>
        <v>10.38</v>
      </c>
      <c r="CN96" s="17">
        <f t="shared" si="103"/>
        <v>12.830000000000002</v>
      </c>
      <c r="CO96" s="17">
        <f t="shared" si="104"/>
        <v>14.110000000000001</v>
      </c>
      <c r="CP96" s="17">
        <f t="shared" si="105"/>
        <v>16.560000000000002</v>
      </c>
      <c r="CQ96" s="2" cm="1">
        <f t="array" aca="1" ref="CQ96" ca="1">MAX(_xlfn._xlws.FILTER(CJ96:CP96,CJ96:CP96&lt;BL96))</f>
        <v>10.38</v>
      </c>
      <c r="CR96" s="2" cm="1">
        <f t="array" aca="1" ref="CR96" ca="1">MIN(_xlfn._xlws.FILTER($CJ96:$CP96,$CJ96:$CP96&gt;BL96))</f>
        <v>12.830000000000002</v>
      </c>
      <c r="CS96" s="16">
        <f t="shared" ca="1" si="119"/>
        <v>0.23603082851637769</v>
      </c>
      <c r="CT96" s="20">
        <f t="shared" ca="1" si="120"/>
        <v>-0.11801541425818884</v>
      </c>
      <c r="CU96" s="20">
        <f t="shared" ca="1" si="121"/>
        <v>-7.8676942838792563E-2</v>
      </c>
      <c r="CV96" s="20">
        <f t="shared" ca="1" si="122"/>
        <v>-4.7206165703275536E-2</v>
      </c>
      <c r="CW96" s="20">
        <f t="shared" ca="1" si="123"/>
        <v>-2.6225647612930853E-2</v>
      </c>
      <c r="CX96" s="20">
        <f t="shared" ca="1" si="124"/>
        <v>-1.3884166383316335E-2</v>
      </c>
      <c r="CY96" s="20">
        <f t="shared" ca="1" si="125"/>
        <v>-7.1524493489811417E-3</v>
      </c>
      <c r="CZ96" s="20">
        <f t="shared" ca="1" si="126"/>
        <v>-3.63124351563658E-3</v>
      </c>
      <c r="DA96" s="21">
        <f t="shared" ca="1" si="127"/>
        <v>3.63124351563658E-3</v>
      </c>
      <c r="DB96" s="21">
        <f t="shared" ca="1" si="128"/>
        <v>7.1524493489811417E-3</v>
      </c>
      <c r="DC96" s="21">
        <f t="shared" ca="1" si="129"/>
        <v>1.3884166383316335E-2</v>
      </c>
      <c r="DD96" s="21">
        <f t="shared" ca="1" si="130"/>
        <v>2.6225647612930853E-2</v>
      </c>
      <c r="DE96" s="21">
        <f t="shared" ca="1" si="131"/>
        <v>4.7206165703275536E-2</v>
      </c>
      <c r="DF96" s="21">
        <f t="shared" ca="1" si="132"/>
        <v>7.8676942838792563E-2</v>
      </c>
      <c r="DG96" s="21">
        <f t="shared" ca="1" si="133"/>
        <v>0.11801541425818884</v>
      </c>
      <c r="DI96" s="16" cm="1">
        <f t="array" aca="1" ref="DI96" ca="1">MAX(_xlfn._xlws.FILTER(CT96:DG96,CT96:DG96&lt;BR96))</f>
        <v>3.63124351563658E-3</v>
      </c>
      <c r="DJ96" s="16" cm="1">
        <f t="array" aca="1" ref="DJ96" ca="1">MIN(_xlfn._xlws.FILTER(CT96:DG96,CT96:DG96&gt;BR96))</f>
        <v>7.1524493489811417E-3</v>
      </c>
      <c r="DK96" s="2" cm="1">
        <f t="array" aca="1" ref="DK96" ca="1">_FV(EC96,"Fechamento anterior",TRUE)</f>
        <v>11.15</v>
      </c>
      <c r="DL96" s="28">
        <f t="shared" ca="1" si="106"/>
        <v>0.49696680241604685</v>
      </c>
      <c r="DM96" s="15">
        <f t="shared" ca="1" si="134"/>
        <v>11.190488365199348</v>
      </c>
      <c r="DN96" s="15">
        <f t="shared" ca="1" si="135"/>
        <v>11.22974981024114</v>
      </c>
      <c r="DO96" s="9"/>
      <c r="DP96" s="9"/>
      <c r="DQ96" s="9"/>
      <c r="DR96" s="89">
        <v>2.9171591690422649E-3</v>
      </c>
      <c r="DS96" s="89">
        <v>7.2700333374490682E-3</v>
      </c>
      <c r="DT96" s="89">
        <v>7.26248703127316E-3</v>
      </c>
      <c r="DU96" s="89">
        <v>3.5212058333445617E-3</v>
      </c>
      <c r="DV96" s="89">
        <f t="shared" ca="1" si="107"/>
        <v>3.5212058333445617E-3</v>
      </c>
      <c r="DW96" s="72">
        <f t="shared" ca="1" si="108"/>
        <v>-0.67603854774699546</v>
      </c>
      <c r="DX96" s="37"/>
      <c r="DY96" s="35">
        <f t="shared" si="118"/>
        <v>0.14126413400278048</v>
      </c>
      <c r="DZ96" s="56"/>
      <c r="EA96" s="56"/>
      <c r="EC96" s="2" t="e" vm="96">
        <v>#VALUE!</v>
      </c>
      <c r="EE96" s="10" cm="1">
        <f t="array" aca="1" ref="EE96" ca="1">_FV(EC96,"Ações em circulação",TRUE)</f>
        <v>2982811000</v>
      </c>
      <c r="EF96" s="18">
        <f>VLOOKUP(BM96,Fundamentus!A:U,5,FALSE)</f>
        <v>1.4910000000000001</v>
      </c>
      <c r="EG96" s="2">
        <f t="shared" ca="1" si="109"/>
        <v>22426097458.081825</v>
      </c>
      <c r="EH96" s="17">
        <v>2841386547.9389672</v>
      </c>
      <c r="EI96" s="17">
        <f t="shared" ca="1" si="110"/>
        <v>2841386547.9389672</v>
      </c>
      <c r="EK96" s="16">
        <f t="shared" ca="1" si="97"/>
        <v>0</v>
      </c>
      <c r="EL96" s="32" t="str">
        <f>IF(VLOOKUP(BM96,Fundamentus!A:U,3,FALSE)&lt;15,"Bom",IF(VLOOKUP(BM96,Fundamentus!A:U,3,FALSE)&gt;15,"Ruim","n/a"))</f>
        <v>Bom</v>
      </c>
      <c r="EM96" s="28" t="str">
        <f>IF(VLOOKUP(BM96,Fundamentus!A:U,4,FALSE)&lt;1,"Baixo",IF(VLOOKUP(BM96,Fundamentus!A:U,4,FALSE)&lt;1.5,"Moderado",IF(VLOOKUP(BM96,Fundamentus!A:U,4,FALSE)&gt;1.5,"Alto","n/a")))</f>
        <v>Moderado</v>
      </c>
      <c r="EN96" s="17" t="str">
        <f>IF(VLOOKUP(BM96,Fundamentus!A:U,8,FALSE)&lt;0,"Risco elevado",IF(VLOOKUP(BM96,Fundamentus!A:U,8,FALSE)&lt;1,"Saudável",IF(VLOOKUP(BM96,Fundamentus!A:U,8,FALSE)&lt;3,"Estável",IF(VLOOKUP(BM96,Fundamentus!A:U,8,FALSE)&gt;3,"Alerta","n/a"))))</f>
        <v>Alerta</v>
      </c>
      <c r="EO96" s="28" t="str">
        <f t="shared" si="111"/>
        <v>Bom</v>
      </c>
      <c r="EP96" s="17" t="str">
        <f>IF(VLOOKUP(BM96,Fundamentus!A:U,12,FALSE)&lt;2,"Subvalorizada",IF(VLOOKUP(BM96,Fundamentus!A:U,12,FALSE)&lt;6,"Muita barata",IF(VLOOKUP(BM96,Fundamentus!A:U,12,FALSE)&lt;6,"Barata",IF(VLOOKUP(BM96,Fundamentus!A:U,12,FALSE)&lt;8,"Atrativa",IF(VLOOKUP(BM96,Fundamentus!A:U,12,FALSE)&gt;8,"Supervalorizada","n/a")))))</f>
        <v>Supervalorizada</v>
      </c>
      <c r="ER96" s="17" t="str">
        <f>IF(VLOOKUP(BM96,Fundamentus!A:U,17,FALSE)&lt;0.1,"Fraco retorno",IF(VLOOKUP(BM96,Fundamentus!A:U,17,FALSE)&gt;0.1,"Bom retorno","n/a"))</f>
        <v>Bom retorno</v>
      </c>
      <c r="ES96" s="17" t="str">
        <f>IF(VLOOKUP(BM96,Fundamentus!A:U,16,FALSE)&lt;0.1,"Ineficiente",IF(VLOOKUP(BM96,Fundamentus!A:U,16,FALSE)&gt;0.1,"Eficiente","n/a"))</f>
        <v>Ineficiente</v>
      </c>
      <c r="ET96" s="33" t="str">
        <f>IF(VLOOKUP(BM96,Fundamentus!A:U,16,FALSE)&lt;0.1,"Oper. Ineficiente",IF(VLOOKUP(BM96,Fundamentus!A:U,16,FALSE)&gt;0.1,"Oper.Eficiente","n/a"))</f>
        <v>Oper. Ineficiente</v>
      </c>
      <c r="EU96" s="34">
        <f>VLOOKUP(BM96,Fundamentus!A:U,14,FALSE)</f>
        <v>0.12670000000000001</v>
      </c>
      <c r="EV96" s="17" t="str">
        <f>IF(VLOOKUP(BM96,Fundamentus!A:U,21,FALSE)&lt;0,"Negativo",IF(VLOOKUP(BM96,Fundamentus!A:U,21,FALSE)&lt;0.05,"Fraco",IF(VLOOKUP(BM96,Fundamentus!A:U,21,FALSE)&lt;0.1,"Bom",IF(VLOOKUP(BM96,Fundamentus!A:U,21,FALSE)&gt;0.1,"Muito bom","n/a"))))</f>
        <v>Fraco</v>
      </c>
      <c r="EX96" s="29" t="str">
        <f>IF(VLOOKUP(BM96,Fundamentus!A:U,15,FALSE)&gt;1,"Bom",IF(VLOOKUP(BM96,Fundamentus!A:U,15,FALSE)&lt;1,"Ruim","n/a"))</f>
        <v>Bom</v>
      </c>
      <c r="EY96" s="17" t="str">
        <f>IF(VLOOKUP(BM96,Fundamentus!A:U,20,FALSE)&lt;0.5,"Baixa",IF(VLOOKUP(BM96,Fundamentus!A:U,20,FALSE)&lt;1,"Moderada",IF(VLOOKUP(BM96,Fundamentus!A:U,20,FALSE)&lt;2,"Alerta",IF(VLOOKUP(BM96,Fundamentus!A:U,20,FALSE)&gt;2,"Alta","n/a"))))</f>
        <v>Moderada</v>
      </c>
      <c r="EZ96" s="10"/>
    </row>
    <row r="97" spans="1:156" s="2" customFormat="1" ht="11.25" x14ac:dyDescent="0.2">
      <c r="A97" s="4">
        <v>42.01</v>
      </c>
      <c r="B97" s="4">
        <v>44.47</v>
      </c>
      <c r="C97" s="4">
        <v>38.57</v>
      </c>
      <c r="D97" s="4">
        <v>38.380000000000003</v>
      </c>
      <c r="E97" s="4">
        <v>40.700000000000003</v>
      </c>
      <c r="F97" s="4">
        <v>38.590000000000003</v>
      </c>
      <c r="G97" s="4">
        <v>36.630000000000003</v>
      </c>
      <c r="H97" s="4">
        <v>38.31</v>
      </c>
      <c r="I97" s="4">
        <v>40.28</v>
      </c>
      <c r="J97" s="4">
        <v>40.28</v>
      </c>
      <c r="K97" s="4">
        <v>40.880000000000003</v>
      </c>
      <c r="L97" s="4">
        <v>41.71</v>
      </c>
      <c r="M97" s="4">
        <v>40.85</v>
      </c>
      <c r="N97" s="4">
        <v>38.64</v>
      </c>
      <c r="O97" s="4">
        <v>39.36</v>
      </c>
      <c r="P97" s="4">
        <v>41.58</v>
      </c>
      <c r="Q97" s="4">
        <v>39.39</v>
      </c>
      <c r="R97" s="4">
        <v>42.94</v>
      </c>
      <c r="S97" s="4">
        <v>41.13</v>
      </c>
      <c r="T97" s="4">
        <v>40.369999999999997</v>
      </c>
      <c r="U97" s="4">
        <v>39.700000000000003</v>
      </c>
      <c r="V97" s="4">
        <v>39.520000000000003</v>
      </c>
      <c r="W97" s="4">
        <v>41.36</v>
      </c>
      <c r="X97" s="4">
        <v>41.44</v>
      </c>
      <c r="Y97" s="4">
        <v>39.450000000000003</v>
      </c>
      <c r="Z97" s="4">
        <v>39.4</v>
      </c>
      <c r="AA97" s="4">
        <v>38.299999999999997</v>
      </c>
      <c r="AB97" s="4">
        <v>38.92</v>
      </c>
      <c r="AC97" s="4">
        <v>40.51</v>
      </c>
      <c r="AD97" s="4">
        <v>43.24</v>
      </c>
      <c r="AE97" s="4">
        <v>42.51</v>
      </c>
      <c r="AF97" s="4">
        <v>42.11</v>
      </c>
      <c r="AG97" s="4">
        <v>41.07</v>
      </c>
      <c r="AH97" s="4">
        <v>40.020000000000003</v>
      </c>
      <c r="AI97" s="4">
        <v>38.840000000000003</v>
      </c>
      <c r="AJ97" s="4">
        <v>40.380000000000003</v>
      </c>
      <c r="AK97" s="4">
        <v>40.92</v>
      </c>
      <c r="AL97" s="4">
        <v>41.6</v>
      </c>
      <c r="AM97" s="4">
        <v>40.630000000000003</v>
      </c>
      <c r="AN97" s="4">
        <v>41.65</v>
      </c>
      <c r="AO97" s="4">
        <v>39.700000000000003</v>
      </c>
      <c r="AP97" s="4">
        <v>40.85</v>
      </c>
      <c r="AQ97" s="4">
        <v>42.26</v>
      </c>
      <c r="AR97" s="4">
        <v>39.049999999999997</v>
      </c>
      <c r="AS97" s="4">
        <v>37.42</v>
      </c>
      <c r="AT97" s="4">
        <v>38.409999999999997</v>
      </c>
      <c r="AU97" s="4">
        <v>40.22</v>
      </c>
      <c r="AV97" s="4">
        <v>41.07</v>
      </c>
      <c r="AW97" s="4">
        <v>37.729999999999997</v>
      </c>
      <c r="AX97" s="4">
        <v>33.92</v>
      </c>
      <c r="AY97" s="12">
        <v>33.17</v>
      </c>
      <c r="AZ97" s="12">
        <v>32.67</v>
      </c>
      <c r="BA97" s="12">
        <v>32.049999999999997</v>
      </c>
      <c r="BB97" s="15">
        <v>33.03</v>
      </c>
      <c r="BC97" s="52">
        <v>34.19</v>
      </c>
      <c r="BD97" s="52">
        <v>33.479999999999997</v>
      </c>
      <c r="BE97" s="52">
        <v>32.909999999999997</v>
      </c>
      <c r="BF97" s="52">
        <v>31.57</v>
      </c>
      <c r="BG97" s="67">
        <v>34.979999999999997</v>
      </c>
      <c r="BH97" s="52">
        <v>35.909999999999997</v>
      </c>
      <c r="BI97" s="52">
        <v>33.799999999999997</v>
      </c>
      <c r="BJ97" s="52">
        <v>35.15</v>
      </c>
      <c r="BK97" s="52">
        <v>35.54</v>
      </c>
      <c r="BL97" s="52" cm="1">
        <f t="array" aca="1" ref="BL97" ca="1">_FV(EC97,"Preço")</f>
        <v>35.54</v>
      </c>
      <c r="BM97" s="69" t="s">
        <v>94</v>
      </c>
      <c r="BN97" s="36" cm="1">
        <f t="array" aca="1" ref="BN97" ca="1">_FV(EC97,"Média de volume",TRUE)</f>
        <v>19979930</v>
      </c>
      <c r="BO97" s="36">
        <v>6286500</v>
      </c>
      <c r="BP97" s="36" cm="1">
        <f t="array" aca="1" ref="BP97" ca="1">_FV(EC97,"Volume")</f>
        <v>6286500</v>
      </c>
      <c r="BQ97" s="24" cm="1">
        <f t="array" aca="1" ref="BQ97" ca="1">_FV(EC97,"Beta")</f>
        <v>1.0316000000000001</v>
      </c>
      <c r="BR97" s="71" cm="1">
        <f t="array" aca="1" ref="BR97" ca="1">_FV(EC97,"Variação (%)",TRUE)</f>
        <v>5.9440000000000005E-3</v>
      </c>
      <c r="BT97" s="17" cm="1">
        <f t="array" aca="1" ref="BT97" ca="1">_FV(EC97,"Baixo")</f>
        <v>35.33</v>
      </c>
      <c r="BU97" s="17" cm="1">
        <f t="array" aca="1" ref="BU97" ca="1">_FV(EC97,"Alto")</f>
        <v>35.85</v>
      </c>
      <c r="BV97" s="24"/>
      <c r="BW97" s="63">
        <f ca="1">SQRT(22.5*(BL97/VLOOKUP(BM97,Fundamentus!A:U,3,FALSE))*(BL97/VLOOKUP(BM97,Fundamentus!A:U,4,FALSE)))</f>
        <v>51.580608521225038</v>
      </c>
      <c r="BY97" s="62">
        <f t="shared" ca="1" si="112"/>
        <v>0</v>
      </c>
      <c r="BZ97" s="8"/>
      <c r="CA97" s="61">
        <f t="shared" si="113"/>
        <v>31.57</v>
      </c>
      <c r="CB97" s="61">
        <f t="shared" si="114"/>
        <v>44.47</v>
      </c>
      <c r="CC97" s="61">
        <f t="shared" si="115"/>
        <v>38.820952380952392</v>
      </c>
      <c r="CD97" s="14"/>
      <c r="CE97" s="35">
        <f t="shared" si="98"/>
        <v>32.191145863126863</v>
      </c>
      <c r="CF97" s="15">
        <f t="shared" si="116"/>
        <v>35.111999999999995</v>
      </c>
      <c r="CG97" s="35">
        <f t="shared" si="99"/>
        <v>38.032854136873127</v>
      </c>
      <c r="CI97" s="14"/>
      <c r="CJ97" s="17">
        <f t="shared" si="100"/>
        <v>16.756666666666668</v>
      </c>
      <c r="CK97" s="17">
        <f t="shared" si="101"/>
        <v>24.163333333333334</v>
      </c>
      <c r="CL97" s="17">
        <f t="shared" si="102"/>
        <v>29.656666666666666</v>
      </c>
      <c r="CM97" s="38">
        <f t="shared" si="117"/>
        <v>37.063333333333333</v>
      </c>
      <c r="CN97" s="17">
        <f t="shared" si="103"/>
        <v>42.556666666666665</v>
      </c>
      <c r="CO97" s="17">
        <f t="shared" si="104"/>
        <v>49.963333333333331</v>
      </c>
      <c r="CP97" s="17">
        <f t="shared" si="105"/>
        <v>55.456666666666663</v>
      </c>
      <c r="CQ97" s="2" cm="1">
        <f t="array" aca="1" ref="CQ97" ca="1">MAX(_xlfn._xlws.FILTER(CJ97:CP97,CJ97:CP97&lt;BL97))</f>
        <v>29.656666666666666</v>
      </c>
      <c r="CR97" s="2" cm="1">
        <f t="array" aca="1" ref="CR97" ca="1">MIN(_xlfn._xlws.FILTER($CJ97:$CP97,$CJ97:$CP97&gt;BL97))</f>
        <v>37.063333333333333</v>
      </c>
      <c r="CS97" s="16">
        <f t="shared" ca="1" si="119"/>
        <v>0.24974710576598858</v>
      </c>
      <c r="CT97" s="20">
        <f t="shared" ca="1" si="120"/>
        <v>-0.12487355288299429</v>
      </c>
      <c r="CU97" s="20">
        <f t="shared" ca="1" si="121"/>
        <v>-8.324903525532952E-2</v>
      </c>
      <c r="CV97" s="20">
        <f t="shared" ca="1" si="122"/>
        <v>-4.9949421153197712E-2</v>
      </c>
      <c r="CW97" s="20">
        <f t="shared" ca="1" si="123"/>
        <v>-2.7749678418443176E-2</v>
      </c>
      <c r="CX97" s="20">
        <f t="shared" ca="1" si="124"/>
        <v>-1.4691006221528739E-2</v>
      </c>
      <c r="CY97" s="20">
        <f t="shared" ca="1" si="125"/>
        <v>-7.5680941141208656E-3</v>
      </c>
      <c r="CZ97" s="20">
        <f t="shared" ca="1" si="126"/>
        <v>-3.8422631656305933E-3</v>
      </c>
      <c r="DA97" s="21">
        <f t="shared" ca="1" si="127"/>
        <v>3.8422631656305933E-3</v>
      </c>
      <c r="DB97" s="21">
        <f t="shared" ca="1" si="128"/>
        <v>7.5680941141208656E-3</v>
      </c>
      <c r="DC97" s="21">
        <f t="shared" ca="1" si="129"/>
        <v>1.4691006221528739E-2</v>
      </c>
      <c r="DD97" s="21">
        <f t="shared" ca="1" si="130"/>
        <v>2.7749678418443176E-2</v>
      </c>
      <c r="DE97" s="21">
        <f t="shared" ca="1" si="131"/>
        <v>4.9949421153197712E-2</v>
      </c>
      <c r="DF97" s="21">
        <f t="shared" ca="1" si="132"/>
        <v>8.324903525532952E-2</v>
      </c>
      <c r="DG97" s="21">
        <f t="shared" ca="1" si="133"/>
        <v>0.12487355288299429</v>
      </c>
      <c r="DI97" s="16" cm="1">
        <f t="array" aca="1" ref="DI97" ca="1">MAX(_xlfn._xlws.FILTER(CT97:DG97,CT97:DG97&lt;BR97))</f>
        <v>3.8422631656305933E-3</v>
      </c>
      <c r="DJ97" s="16" cm="1">
        <f t="array" aca="1" ref="DJ97" ca="1">MIN(_xlfn._xlws.FILTER(CT97:DG97,CT97:DG97&gt;BR97))</f>
        <v>7.5680941141208656E-3</v>
      </c>
      <c r="DK97" s="2" cm="1">
        <f t="array" aca="1" ref="DK97" ca="1">_FV(EC97,"Fechamento anterior",TRUE)</f>
        <v>35.33</v>
      </c>
      <c r="DL97" s="28">
        <f t="shared" ca="1" si="106"/>
        <v>0.56408727086620514</v>
      </c>
      <c r="DM97" s="15">
        <f t="shared" ca="1" si="134"/>
        <v>35.465747157641729</v>
      </c>
      <c r="DN97" s="15">
        <f t="shared" ca="1" si="135"/>
        <v>35.597380765051888</v>
      </c>
      <c r="DO97" s="9"/>
      <c r="DP97" s="9"/>
      <c r="DQ97" s="9"/>
      <c r="DR97" s="89">
        <v>8.3890163730039116E-3</v>
      </c>
      <c r="DS97" s="89">
        <v>1.3209059621441579E-2</v>
      </c>
      <c r="DT97" s="89">
        <v>7.6845263312611866E-3</v>
      </c>
      <c r="DU97" s="89">
        <v>3.7258309484902723E-3</v>
      </c>
      <c r="DV97" s="89">
        <f t="shared" ca="1" si="107"/>
        <v>3.7258309484902723E-3</v>
      </c>
      <c r="DW97" s="72">
        <f t="shared" ca="1" si="108"/>
        <v>0.14653247986501378</v>
      </c>
      <c r="DX97" s="37"/>
      <c r="DY97" s="35">
        <f t="shared" si="118"/>
        <v>1.4604270684365652</v>
      </c>
      <c r="DZ97" s="56"/>
      <c r="EA97" s="56"/>
      <c r="EC97" s="2" t="e" vm="97">
        <v>#VALUE!</v>
      </c>
      <c r="EE97" s="10" cm="1">
        <f t="array" aca="1" ref="EE97" ca="1">_FV(EC97,"Ações em circulação",TRUE)</f>
        <v>12888730000</v>
      </c>
      <c r="EF97" s="18">
        <f>VLOOKUP(BM97,Fundamentus!A:U,5,FALSE)</f>
        <v>0.90900000000000003</v>
      </c>
      <c r="EG97" s="2">
        <f t="shared" ca="1" si="109"/>
        <v>503922402860.28601</v>
      </c>
      <c r="EH97" s="17">
        <v>49283610999.73597</v>
      </c>
      <c r="EI97" s="17">
        <f t="shared" ca="1" si="110"/>
        <v>49283610999.73597</v>
      </c>
      <c r="EK97" s="16">
        <f t="shared" ca="1" si="97"/>
        <v>0</v>
      </c>
      <c r="EL97" s="32" t="str">
        <f>IF(VLOOKUP(BM97,Fundamentus!A:U,3,FALSE)&lt;15,"Bom",IF(VLOOKUP(BM97,Fundamentus!A:U,3,FALSE)&gt;15,"Ruim","n/a"))</f>
        <v>Bom</v>
      </c>
      <c r="EM97" s="28" t="str">
        <f>IF(VLOOKUP(BM97,Fundamentus!A:U,4,FALSE)&lt;1,"Baixo",IF(VLOOKUP(BM97,Fundamentus!A:U,4,FALSE)&lt;1.5,"Moderado",IF(VLOOKUP(BM97,Fundamentus!A:U,4,FALSE)&gt;1.5,"Alto","n/a")))</f>
        <v>Moderado</v>
      </c>
      <c r="EN97" s="17" t="str">
        <f>IF(VLOOKUP(BM97,Fundamentus!A:U,8,FALSE)&lt;0,"Risco elevado",IF(VLOOKUP(BM97,Fundamentus!A:U,8,FALSE)&lt;1,"Saudável",IF(VLOOKUP(BM97,Fundamentus!A:U,8,FALSE)&lt;3,"Estável",IF(VLOOKUP(BM97,Fundamentus!A:U,8,FALSE)&gt;3,"Alerta","n/a"))))</f>
        <v>Risco elevado</v>
      </c>
      <c r="EO97" s="28" t="str">
        <f t="shared" si="111"/>
        <v>Ruim</v>
      </c>
      <c r="EP97" s="17" t="str">
        <f>IF(VLOOKUP(BM97,Fundamentus!A:U,12,FALSE)&lt;2,"Subvalorizada",IF(VLOOKUP(BM97,Fundamentus!A:U,12,FALSE)&lt;6,"Muita barata",IF(VLOOKUP(BM97,Fundamentus!A:U,12,FALSE)&lt;6,"Barata",IF(VLOOKUP(BM97,Fundamentus!A:U,12,FALSE)&lt;8,"Atrativa",IF(VLOOKUP(BM97,Fundamentus!A:U,12,FALSE)&gt;8,"Supervalorizada","n/a")))))</f>
        <v>Muita barata</v>
      </c>
      <c r="ER97" s="17" t="str">
        <f>IF(VLOOKUP(BM97,Fundamentus!A:U,17,FALSE)&lt;0.1,"Fraco retorno",IF(VLOOKUP(BM97,Fundamentus!A:U,17,FALSE)&gt;0.1,"Bom retorno","n/a"))</f>
        <v>Bom retorno</v>
      </c>
      <c r="ES97" s="17" t="str">
        <f>IF(VLOOKUP(BM97,Fundamentus!A:U,16,FALSE)&lt;0.1,"Ineficiente",IF(VLOOKUP(BM97,Fundamentus!A:U,16,FALSE)&gt;0.1,"Eficiente","n/a"))</f>
        <v>Eficiente</v>
      </c>
      <c r="ET97" s="33" t="str">
        <f>IF(VLOOKUP(BM97,Fundamentus!A:U,16,FALSE)&lt;0.1,"Oper. Ineficiente",IF(VLOOKUP(BM97,Fundamentus!A:U,16,FALSE)&gt;0.1,"Oper.Eficiente","n/a"))</f>
        <v>Oper.Eficiente</v>
      </c>
      <c r="EU97" s="34">
        <f>VLOOKUP(BM97,Fundamentus!A:U,14,FALSE)</f>
        <v>9.7799999999999998E-2</v>
      </c>
      <c r="EV97" s="17" t="str">
        <f>IF(VLOOKUP(BM97,Fundamentus!A:U,21,FALSE)&lt;0,"Negativo",IF(VLOOKUP(BM97,Fundamentus!A:U,21,FALSE)&lt;0.05,"Fraco",IF(VLOOKUP(BM97,Fundamentus!A:U,21,FALSE)&lt;0.1,"Bom",IF(VLOOKUP(BM97,Fundamentus!A:U,21,FALSE)&gt;0.1,"Muito bom","n/a"))))</f>
        <v>Muito bom</v>
      </c>
      <c r="EX97" s="29" t="str">
        <f>IF(VLOOKUP(BM97,Fundamentus!A:U,15,FALSE)&gt;1,"Bom",IF(VLOOKUP(BM97,Fundamentus!A:U,15,FALSE)&lt;1,"Ruim","n/a"))</f>
        <v>Ruim</v>
      </c>
      <c r="EY97" s="17" t="str">
        <f>IF(VLOOKUP(BM97,Fundamentus!A:U,20,FALSE)&lt;0.5,"Baixa",IF(VLOOKUP(BM97,Fundamentus!A:U,20,FALSE)&lt;1,"Moderada",IF(VLOOKUP(BM97,Fundamentus!A:U,20,FALSE)&lt;2,"Alerta",IF(VLOOKUP(BM97,Fundamentus!A:U,20,FALSE)&gt;2,"Alta","n/a"))))</f>
        <v>Moderada</v>
      </c>
      <c r="EZ97" s="10"/>
    </row>
    <row r="98" spans="1:156" s="2" customFormat="1" ht="11.25" x14ac:dyDescent="0.2">
      <c r="A98" s="4">
        <v>12.49</v>
      </c>
      <c r="B98" s="4">
        <v>11.96</v>
      </c>
      <c r="C98" s="4">
        <v>12.02</v>
      </c>
      <c r="D98" s="4">
        <v>11.65</v>
      </c>
      <c r="E98" s="4">
        <v>11.45</v>
      </c>
      <c r="F98" s="4">
        <v>11.48</v>
      </c>
      <c r="G98" s="4">
        <v>11.38</v>
      </c>
      <c r="H98" s="4">
        <v>11.14</v>
      </c>
      <c r="I98" s="4">
        <v>11.19</v>
      </c>
      <c r="J98" s="4">
        <v>11.32</v>
      </c>
      <c r="K98" s="4">
        <v>11.56</v>
      </c>
      <c r="L98" s="4">
        <v>11.46</v>
      </c>
      <c r="M98" s="4">
        <v>11.33</v>
      </c>
      <c r="N98" s="4">
        <v>11.33</v>
      </c>
      <c r="O98" s="4">
        <v>13.03</v>
      </c>
      <c r="P98" s="4">
        <v>13.32</v>
      </c>
      <c r="Q98" s="4">
        <v>14.2</v>
      </c>
      <c r="R98" s="4">
        <v>14.14</v>
      </c>
      <c r="S98" s="4">
        <v>14.17</v>
      </c>
      <c r="T98" s="4">
        <v>13.95</v>
      </c>
      <c r="U98" s="4">
        <v>13.25</v>
      </c>
      <c r="V98" s="4">
        <v>13.24</v>
      </c>
      <c r="W98" s="4">
        <v>13.29</v>
      </c>
      <c r="X98" s="4">
        <v>12.99</v>
      </c>
      <c r="Y98" s="4">
        <v>13.18</v>
      </c>
      <c r="Z98" s="4">
        <v>13.11</v>
      </c>
      <c r="AA98" s="4">
        <v>12.52</v>
      </c>
      <c r="AB98" s="4">
        <v>12.05</v>
      </c>
      <c r="AC98" s="4">
        <v>12.02</v>
      </c>
      <c r="AD98" s="4">
        <v>12.14</v>
      </c>
      <c r="AE98" s="4">
        <v>11.13</v>
      </c>
      <c r="AF98" s="4">
        <v>11.12</v>
      </c>
      <c r="AG98" s="4">
        <v>11.06</v>
      </c>
      <c r="AH98" s="4">
        <v>10.61</v>
      </c>
      <c r="AI98" s="4">
        <v>10.65</v>
      </c>
      <c r="AJ98" s="4">
        <v>10.32</v>
      </c>
      <c r="AK98" s="4">
        <v>10.31</v>
      </c>
      <c r="AL98" s="4">
        <v>10.65</v>
      </c>
      <c r="AM98" s="4">
        <v>10.42</v>
      </c>
      <c r="AN98" s="4">
        <v>11.02</v>
      </c>
      <c r="AO98" s="4">
        <v>10.88</v>
      </c>
      <c r="AP98" s="4">
        <v>11.11</v>
      </c>
      <c r="AQ98" s="4">
        <v>10.88</v>
      </c>
      <c r="AR98" s="4">
        <v>10.36</v>
      </c>
      <c r="AS98" s="4">
        <v>10.74</v>
      </c>
      <c r="AT98" s="4">
        <v>11.09</v>
      </c>
      <c r="AU98" s="4">
        <v>11.3</v>
      </c>
      <c r="AV98" s="4">
        <v>11.62</v>
      </c>
      <c r="AW98" s="4">
        <v>11.17</v>
      </c>
      <c r="AX98" s="4">
        <v>11.18</v>
      </c>
      <c r="AY98" s="12">
        <v>11.42</v>
      </c>
      <c r="AZ98" s="12">
        <v>11.97</v>
      </c>
      <c r="BA98" s="12">
        <v>12.23</v>
      </c>
      <c r="BB98" s="15">
        <v>13.4</v>
      </c>
      <c r="BC98" s="52">
        <v>13.4</v>
      </c>
      <c r="BD98" s="52">
        <v>13.53</v>
      </c>
      <c r="BE98" s="52">
        <v>13.98</v>
      </c>
      <c r="BF98" s="52">
        <v>13.78</v>
      </c>
      <c r="BG98" s="67">
        <v>14.11</v>
      </c>
      <c r="BH98" s="52">
        <v>14.29</v>
      </c>
      <c r="BI98" s="52">
        <v>14.28</v>
      </c>
      <c r="BJ98" s="52">
        <v>14.41</v>
      </c>
      <c r="BK98" s="52">
        <v>13.83</v>
      </c>
      <c r="BL98" s="52" cm="1">
        <f t="array" aca="1" ref="BL98" ca="1">_FV(EC98,"Preço")</f>
        <v>13.83</v>
      </c>
      <c r="BM98" s="69" t="s">
        <v>95</v>
      </c>
      <c r="BN98" s="36" cm="1">
        <f t="array" aca="1" ref="BN98" ca="1">_FV(EC98,"Média de volume",TRUE)</f>
        <v>24590720</v>
      </c>
      <c r="BO98" s="36">
        <v>7899000</v>
      </c>
      <c r="BP98" s="36" cm="1">
        <f t="array" aca="1" ref="BP98" ca="1">_FV(EC98,"Volume")</f>
        <v>7899000</v>
      </c>
      <c r="BQ98" s="24" cm="1">
        <f t="array" aca="1" ref="BQ98" ca="1">_FV(EC98,"Beta")</f>
        <v>1.506</v>
      </c>
      <c r="BR98" s="71" cm="1">
        <f t="array" aca="1" ref="BR98" ca="1">_FV(EC98,"Variação (%)",TRUE)</f>
        <v>-3.6020000000000002E-3</v>
      </c>
      <c r="BT98" s="17" cm="1">
        <f t="array" aca="1" ref="BT98" ca="1">_FV(EC98,"Baixo")</f>
        <v>13.69</v>
      </c>
      <c r="BU98" s="17" cm="1">
        <f t="array" aca="1" ref="BU98" ca="1">_FV(EC98,"Alto")</f>
        <v>13.88</v>
      </c>
      <c r="BV98" s="24"/>
      <c r="BW98" s="63">
        <f ca="1">SQRT(22.5*(BL98/VLOOKUP(BM98,Fundamentus!A:U,3,FALSE))*(BL98/VLOOKUP(BM98,Fundamentus!A:U,4,FALSE)))</f>
        <v>25.57546828495266</v>
      </c>
      <c r="BY98" s="62">
        <f t="shared" ca="1" si="112"/>
        <v>0</v>
      </c>
      <c r="BZ98" s="8"/>
      <c r="CA98" s="61">
        <f t="shared" si="113"/>
        <v>10.31</v>
      </c>
      <c r="CB98" s="61">
        <f t="shared" si="114"/>
        <v>14.41</v>
      </c>
      <c r="CC98" s="61">
        <f t="shared" si="115"/>
        <v>12.136666666666663</v>
      </c>
      <c r="CD98" s="14"/>
      <c r="CE98" s="35">
        <f t="shared" si="98"/>
        <v>13.66507310504082</v>
      </c>
      <c r="CF98" s="15">
        <f t="shared" si="116"/>
        <v>14.139999999999986</v>
      </c>
      <c r="CG98" s="35">
        <f t="shared" si="99"/>
        <v>14.614926894959153</v>
      </c>
      <c r="CI98" s="14"/>
      <c r="CJ98" s="17">
        <f t="shared" si="100"/>
        <v>7.5766666666666627</v>
      </c>
      <c r="CK98" s="17">
        <f t="shared" si="101"/>
        <v>8.9433333333333316</v>
      </c>
      <c r="CL98" s="17">
        <f t="shared" si="102"/>
        <v>11.676666666666662</v>
      </c>
      <c r="CM98" s="38">
        <f t="shared" si="117"/>
        <v>13.043333333333331</v>
      </c>
      <c r="CN98" s="17">
        <f t="shared" si="103"/>
        <v>15.776666666666662</v>
      </c>
      <c r="CO98" s="17">
        <f t="shared" si="104"/>
        <v>17.143333333333331</v>
      </c>
      <c r="CP98" s="17">
        <f t="shared" si="105"/>
        <v>19.876666666666662</v>
      </c>
      <c r="CQ98" s="2" cm="1">
        <f t="array" aca="1" ref="CQ98" ca="1">MAX(_xlfn._xlws.FILTER(CJ98:CP98,CJ98:CP98&lt;BL98))</f>
        <v>13.043333333333331</v>
      </c>
      <c r="CR98" s="2" cm="1">
        <f t="array" aca="1" ref="CR98" ca="1">MIN(_xlfn._xlws.FILTER($CJ98:$CP98,$CJ98:$CP98&gt;BL98))</f>
        <v>15.776666666666662</v>
      </c>
      <c r="CS98" s="16">
        <f t="shared" ca="1" si="119"/>
        <v>0.20955788397648845</v>
      </c>
      <c r="CT98" s="20">
        <f t="shared" ca="1" si="120"/>
        <v>-0.10477894198824422</v>
      </c>
      <c r="CU98" s="20">
        <f t="shared" ca="1" si="121"/>
        <v>-6.9852627992162811E-2</v>
      </c>
      <c r="CV98" s="20">
        <f t="shared" ca="1" si="122"/>
        <v>-4.1911576795297688E-2</v>
      </c>
      <c r="CW98" s="20">
        <f t="shared" ca="1" si="123"/>
        <v>-2.3284209330720937E-2</v>
      </c>
      <c r="CX98" s="20">
        <f t="shared" ca="1" si="124"/>
        <v>-1.2326934351558143E-2</v>
      </c>
      <c r="CY98" s="20">
        <f t="shared" ca="1" si="125"/>
        <v>-6.3502389083784378E-3</v>
      </c>
      <c r="CZ98" s="20">
        <f t="shared" ca="1" si="126"/>
        <v>-3.2239674457921301E-3</v>
      </c>
      <c r="DA98" s="21">
        <f t="shared" ca="1" si="127"/>
        <v>3.2239674457921301E-3</v>
      </c>
      <c r="DB98" s="21">
        <f t="shared" ca="1" si="128"/>
        <v>6.3502389083784378E-3</v>
      </c>
      <c r="DC98" s="21">
        <f t="shared" ca="1" si="129"/>
        <v>1.2326934351558143E-2</v>
      </c>
      <c r="DD98" s="21">
        <f t="shared" ca="1" si="130"/>
        <v>2.3284209330720937E-2</v>
      </c>
      <c r="DE98" s="21">
        <f t="shared" ca="1" si="131"/>
        <v>4.1911576795297688E-2</v>
      </c>
      <c r="DF98" s="21">
        <f t="shared" ca="1" si="132"/>
        <v>6.9852627992162811E-2</v>
      </c>
      <c r="DG98" s="21">
        <f t="shared" ca="1" si="133"/>
        <v>0.10477894198824422</v>
      </c>
      <c r="DI98" s="16" cm="1">
        <f t="array" aca="1" ref="DI98" ca="1">MAX(_xlfn._xlws.FILTER(CT98:DG98,CT98:DG98&lt;BR98))</f>
        <v>-6.3502389083784378E-3</v>
      </c>
      <c r="DJ98" s="16" cm="1">
        <f t="array" aca="1" ref="DJ98" ca="1">MIN(_xlfn._xlws.FILTER(CT98:DG98,CT98:DG98&gt;BR98))</f>
        <v>-3.2239674457921301E-3</v>
      </c>
      <c r="DK98" s="2" cm="1">
        <f t="array" aca="1" ref="DK98" ca="1">_FV(EC98,"Fechamento anterior",TRUE)</f>
        <v>13.88</v>
      </c>
      <c r="DL98" s="28">
        <f t="shared" ca="1" si="106"/>
        <v>0.87898106922574493</v>
      </c>
      <c r="DM98" s="15">
        <f t="shared" ca="1" si="134"/>
        <v>13.791858683951707</v>
      </c>
      <c r="DN98" s="15">
        <f t="shared" ca="1" si="135"/>
        <v>13.835251331852406</v>
      </c>
      <c r="DO98" s="9"/>
      <c r="DP98" s="9"/>
      <c r="DQ98" s="9"/>
      <c r="DR98" s="89">
        <v>5.0478170478170476E-3</v>
      </c>
      <c r="DS98" s="89">
        <v>1.0411483771827389E-2</v>
      </c>
      <c r="DT98" s="89">
        <v>6.4479348915842602E-3</v>
      </c>
      <c r="DU98" s="89">
        <v>3.1262714625863077E-3</v>
      </c>
      <c r="DV98" s="89">
        <f t="shared" ca="1" si="107"/>
        <v>3.1262714625863077E-3</v>
      </c>
      <c r="DW98" s="72">
        <f t="shared" ca="1" si="108"/>
        <v>-0.65273203789951662</v>
      </c>
      <c r="DX98" s="37"/>
      <c r="DY98" s="35">
        <f t="shared" si="118"/>
        <v>0.23746344747958345</v>
      </c>
      <c r="DZ98" s="56"/>
      <c r="EA98" s="56"/>
      <c r="EC98" s="2" t="e" vm="98">
        <v>#VALUE!</v>
      </c>
      <c r="EE98" s="10" cm="1">
        <f t="array" aca="1" ref="EE98" ca="1">_FV(EC98,"Ações em circulação",TRUE)</f>
        <v>10592010000</v>
      </c>
      <c r="EF98" s="18">
        <f>VLOOKUP(BM98,Fundamentus!A:U,5,FALSE)</f>
        <v>0</v>
      </c>
      <c r="EG98" s="2" t="e">
        <f t="shared" ca="1" si="109"/>
        <v>#DIV/0!</v>
      </c>
      <c r="EH98" s="17" t="e">
        <v>#DIV/0!</v>
      </c>
      <c r="EI98" s="17" t="e">
        <f t="shared" ca="1" si="110"/>
        <v>#DIV/0!</v>
      </c>
      <c r="EK98" s="16" t="e">
        <f t="shared" ca="1" si="97"/>
        <v>#DIV/0!</v>
      </c>
      <c r="EL98" s="32" t="str">
        <f>IF(VLOOKUP(BM98,Fundamentus!A:U,3,FALSE)&lt;15,"Bom",IF(VLOOKUP(BM98,Fundamentus!A:U,3,FALSE)&gt;15,"Ruim","n/a"))</f>
        <v>Bom</v>
      </c>
      <c r="EM98" s="28" t="str">
        <f>IF(VLOOKUP(BM98,Fundamentus!A:U,4,FALSE)&lt;1,"Baixo",IF(VLOOKUP(BM98,Fundamentus!A:U,4,FALSE)&lt;1.5,"Moderado",IF(VLOOKUP(BM98,Fundamentus!A:U,4,FALSE)&gt;1.5,"Alto","n/a")))</f>
        <v>Baixo</v>
      </c>
      <c r="EN98" s="17" t="str">
        <f>IF(VLOOKUP(BM98,Fundamentus!A:U,8,FALSE)&lt;0,"Risco elevado",IF(VLOOKUP(BM98,Fundamentus!A:U,8,FALSE)&lt;1,"Saudável",IF(VLOOKUP(BM98,Fundamentus!A:U,8,FALSE)&lt;3,"Estável",IF(VLOOKUP(BM98,Fundamentus!A:U,8,FALSE)&gt;3,"Alerta","n/a"))))</f>
        <v>Saudável</v>
      </c>
      <c r="EO98" s="28" t="str">
        <f t="shared" si="111"/>
        <v>Ruim</v>
      </c>
      <c r="EP98" s="17" t="str">
        <f>IF(VLOOKUP(BM98,Fundamentus!A:U,12,FALSE)&lt;2,"Subvalorizada",IF(VLOOKUP(BM98,Fundamentus!A:U,12,FALSE)&lt;6,"Muita barata",IF(VLOOKUP(BM98,Fundamentus!A:U,12,FALSE)&lt;6,"Barata",IF(VLOOKUP(BM98,Fundamentus!A:U,12,FALSE)&lt;8,"Atrativa",IF(VLOOKUP(BM98,Fundamentus!A:U,12,FALSE)&gt;8,"Supervalorizada","n/a")))))</f>
        <v>Subvalorizada</v>
      </c>
      <c r="ER98" s="17" t="str">
        <f>IF(VLOOKUP(BM98,Fundamentus!A:U,17,FALSE)&lt;0.1,"Fraco retorno",IF(VLOOKUP(BM98,Fundamentus!A:U,17,FALSE)&gt;0.1,"Bom retorno","n/a"))</f>
        <v>Bom retorno</v>
      </c>
      <c r="ES98" s="17" t="str">
        <f>IF(VLOOKUP(BM98,Fundamentus!A:U,16,FALSE)&lt;0.1,"Ineficiente",IF(VLOOKUP(BM98,Fundamentus!A:U,16,FALSE)&gt;0.1,"Eficiente","n/a"))</f>
        <v>Ineficiente</v>
      </c>
      <c r="ET98" s="33" t="str">
        <f>IF(VLOOKUP(BM98,Fundamentus!A:U,16,FALSE)&lt;0.1,"Oper. Ineficiente",IF(VLOOKUP(BM98,Fundamentus!A:U,16,FALSE)&gt;0.1,"Oper.Eficiente","n/a"))</f>
        <v>Oper. Ineficiente</v>
      </c>
      <c r="EU98" s="34">
        <f>VLOOKUP(BM98,Fundamentus!A:U,14,FALSE)</f>
        <v>0</v>
      </c>
      <c r="EV98" s="17" t="str">
        <f>IF(VLOOKUP(BM98,Fundamentus!A:U,21,FALSE)&lt;0,"Negativo",IF(VLOOKUP(BM98,Fundamentus!A:U,21,FALSE)&lt;0.05,"Fraco",IF(VLOOKUP(BM98,Fundamentus!A:U,21,FALSE)&lt;0.1,"Bom",IF(VLOOKUP(BM98,Fundamentus!A:U,21,FALSE)&gt;0.1,"Muito bom","n/a"))))</f>
        <v>Negativo</v>
      </c>
      <c r="EX98" s="29" t="str">
        <f>IF(VLOOKUP(BM98,Fundamentus!A:U,15,FALSE)&gt;1,"Bom",IF(VLOOKUP(BM98,Fundamentus!A:U,15,FALSE)&lt;1,"Ruim","n/a"))</f>
        <v>Ruim</v>
      </c>
      <c r="EY98" s="17" t="str">
        <f>IF(VLOOKUP(BM98,Fundamentus!A:U,20,FALSE)&lt;0.5,"Baixa",IF(VLOOKUP(BM98,Fundamentus!A:U,20,FALSE)&lt;1,"Moderada",IF(VLOOKUP(BM98,Fundamentus!A:U,20,FALSE)&lt;2,"Alerta",IF(VLOOKUP(BM98,Fundamentus!A:U,20,FALSE)&gt;2,"Alta","n/a"))))</f>
        <v>Baixa</v>
      </c>
      <c r="EZ98" s="10"/>
    </row>
    <row r="99" spans="1:156" s="2" customFormat="1" ht="11.25" x14ac:dyDescent="0.2">
      <c r="A99" s="4">
        <v>7.03</v>
      </c>
      <c r="B99" s="4">
        <v>6.7</v>
      </c>
      <c r="C99" s="4">
        <v>6.9</v>
      </c>
      <c r="D99" s="4">
        <v>7.01</v>
      </c>
      <c r="E99" s="4">
        <v>6.52</v>
      </c>
      <c r="F99" s="4">
        <v>6.3</v>
      </c>
      <c r="G99" s="4">
        <v>6.13</v>
      </c>
      <c r="H99" s="4">
        <v>6.26</v>
      </c>
      <c r="I99" s="4">
        <v>6.34</v>
      </c>
      <c r="J99" s="4">
        <v>6.52</v>
      </c>
      <c r="K99" s="4">
        <v>6.54</v>
      </c>
      <c r="L99" s="4">
        <v>6.59</v>
      </c>
      <c r="M99" s="4">
        <v>6.32</v>
      </c>
      <c r="N99" s="4">
        <v>6.78</v>
      </c>
      <c r="O99" s="4">
        <v>7.1</v>
      </c>
      <c r="P99" s="4">
        <v>6.73</v>
      </c>
      <c r="Q99" s="4">
        <v>6.95</v>
      </c>
      <c r="R99" s="4">
        <v>7.35</v>
      </c>
      <c r="S99" s="4">
        <v>7.9</v>
      </c>
      <c r="T99" s="4">
        <v>8</v>
      </c>
      <c r="U99" s="4">
        <v>7.83</v>
      </c>
      <c r="V99" s="4">
        <v>8.0500000000000007</v>
      </c>
      <c r="W99" s="4">
        <v>8.0299999999999994</v>
      </c>
      <c r="X99" s="4">
        <v>8.11</v>
      </c>
      <c r="Y99" s="4">
        <v>8.75</v>
      </c>
      <c r="Z99" s="4">
        <v>8.5500000000000007</v>
      </c>
      <c r="AA99" s="4">
        <v>8.32</v>
      </c>
      <c r="AB99" s="4">
        <v>8.8800000000000008</v>
      </c>
      <c r="AC99" s="4">
        <v>9.42</v>
      </c>
      <c r="AD99" s="4">
        <v>9.56</v>
      </c>
      <c r="AE99" s="4">
        <v>8.5500000000000007</v>
      </c>
      <c r="AF99" s="4">
        <v>8.36</v>
      </c>
      <c r="AG99" s="4">
        <v>8.41</v>
      </c>
      <c r="AH99" s="4">
        <v>7.3</v>
      </c>
      <c r="AI99" s="4">
        <v>7.38</v>
      </c>
      <c r="AJ99" s="4">
        <v>7.35</v>
      </c>
      <c r="AK99" s="4">
        <v>7.31</v>
      </c>
      <c r="AL99" s="4">
        <v>7.91</v>
      </c>
      <c r="AM99" s="4">
        <v>8.32</v>
      </c>
      <c r="AN99" s="4">
        <v>8.33</v>
      </c>
      <c r="AO99" s="4">
        <v>8.0500000000000007</v>
      </c>
      <c r="AP99" s="4">
        <v>8.4600000000000009</v>
      </c>
      <c r="AQ99" s="4">
        <v>8.0500000000000007</v>
      </c>
      <c r="AR99" s="4">
        <v>7.35</v>
      </c>
      <c r="AS99" s="4">
        <v>7.22</v>
      </c>
      <c r="AT99" s="4">
        <v>7.12</v>
      </c>
      <c r="AU99" s="4">
        <v>7.125</v>
      </c>
      <c r="AV99" s="4">
        <v>6.46</v>
      </c>
      <c r="AW99" s="4">
        <v>6.02</v>
      </c>
      <c r="AX99" s="4">
        <v>6.03</v>
      </c>
      <c r="AY99" s="12">
        <v>6.56</v>
      </c>
      <c r="AZ99" s="12">
        <v>6.83</v>
      </c>
      <c r="BA99" s="12">
        <v>7.04</v>
      </c>
      <c r="BB99" s="15">
        <v>6.79</v>
      </c>
      <c r="BC99" s="52">
        <v>7.18</v>
      </c>
      <c r="BD99" s="52">
        <v>6.95</v>
      </c>
      <c r="BE99" s="52">
        <v>7.25</v>
      </c>
      <c r="BF99" s="52">
        <v>7.33</v>
      </c>
      <c r="BG99" s="67">
        <v>7.58</v>
      </c>
      <c r="BH99" s="52">
        <v>7.57</v>
      </c>
      <c r="BI99" s="52">
        <v>7.89</v>
      </c>
      <c r="BJ99" s="52">
        <v>8.15</v>
      </c>
      <c r="BK99" s="52">
        <v>8.0299999999999994</v>
      </c>
      <c r="BL99" s="52" cm="1">
        <f t="array" aca="1" ref="BL99" ca="1">_FV(EC99,"Preço")</f>
        <v>8.0299999999999994</v>
      </c>
      <c r="BM99" s="69" t="s">
        <v>96</v>
      </c>
      <c r="BN99" s="36" cm="1">
        <f t="array" aca="1" ref="BN99" ca="1">_FV(EC99,"Média de volume",TRUE)</f>
        <v>8566140</v>
      </c>
      <c r="BO99" s="36">
        <v>6998200</v>
      </c>
      <c r="BP99" s="36" cm="1">
        <f t="array" aca="1" ref="BP99" ca="1">_FV(EC99,"Volume")</f>
        <v>6998200</v>
      </c>
      <c r="BQ99" s="24" cm="1">
        <f t="array" aca="1" ref="BQ99" ca="1">_FV(EC99,"Beta")</f>
        <v>0.82509999999999994</v>
      </c>
      <c r="BR99" s="71" cm="1">
        <f t="array" aca="1" ref="BR99" ca="1">_FV(EC99,"Variação (%)",TRUE)</f>
        <v>-6.1879999999999999E-3</v>
      </c>
      <c r="BT99" s="17" cm="1">
        <f t="array" aca="1" ref="BT99" ca="1">_FV(EC99,"Baixo")</f>
        <v>7.91</v>
      </c>
      <c r="BU99" s="17" cm="1">
        <f t="array" aca="1" ref="BU99" ca="1">_FV(EC99,"Alto")</f>
        <v>8.07</v>
      </c>
      <c r="BV99" s="24"/>
      <c r="BW99" s="63">
        <f ca="1">SQRT(22.5*(BL99/VLOOKUP(BM99,Fundamentus!A:U,3,FALSE))*(BL99/VLOOKUP(BM99,Fundamentus!A:U,4,FALSE)))</f>
        <v>9.3731293209841446</v>
      </c>
      <c r="BY99" s="62">
        <f t="shared" ca="1" si="112"/>
        <v>0</v>
      </c>
      <c r="BZ99" s="8"/>
      <c r="CA99" s="61">
        <f t="shared" si="113"/>
        <v>6.02</v>
      </c>
      <c r="CB99" s="61">
        <f t="shared" si="114"/>
        <v>9.56</v>
      </c>
      <c r="CC99" s="61">
        <f t="shared" si="115"/>
        <v>7.424206349206349</v>
      </c>
      <c r="CD99" s="14"/>
      <c r="CE99" s="35">
        <f t="shared" si="98"/>
        <v>7.4173793521907943</v>
      </c>
      <c r="CF99" s="15">
        <f t="shared" si="116"/>
        <v>7.9920000000001892</v>
      </c>
      <c r="CG99" s="35">
        <f t="shared" si="99"/>
        <v>8.5666206478095841</v>
      </c>
      <c r="CI99" s="14"/>
      <c r="CJ99" s="17">
        <f t="shared" si="100"/>
        <v>2.7199999999999989</v>
      </c>
      <c r="CK99" s="17">
        <f t="shared" si="101"/>
        <v>4.3699999999999992</v>
      </c>
      <c r="CL99" s="17">
        <f t="shared" si="102"/>
        <v>6.26</v>
      </c>
      <c r="CM99" s="38">
        <f t="shared" si="117"/>
        <v>7.91</v>
      </c>
      <c r="CN99" s="17">
        <f t="shared" si="103"/>
        <v>9.8000000000000007</v>
      </c>
      <c r="CO99" s="17">
        <f t="shared" si="104"/>
        <v>11.450000000000001</v>
      </c>
      <c r="CP99" s="17">
        <f t="shared" si="105"/>
        <v>13.340000000000002</v>
      </c>
      <c r="CQ99" s="2" cm="1">
        <f t="array" aca="1" ref="CQ99" ca="1">MAX(_xlfn._xlws.FILTER(CJ99:CP99,CJ99:CP99&lt;BL99))</f>
        <v>7.91</v>
      </c>
      <c r="CR99" s="2" cm="1">
        <f t="array" aca="1" ref="CR99" ca="1">MIN(_xlfn._xlws.FILTER($CJ99:$CP99,$CJ99:$CP99&gt;BL99))</f>
        <v>9.8000000000000007</v>
      </c>
      <c r="CS99" s="16">
        <f t="shared" ca="1" si="119"/>
        <v>0.23893805309734528</v>
      </c>
      <c r="CT99" s="20">
        <f t="shared" ca="1" si="120"/>
        <v>-0.11946902654867264</v>
      </c>
      <c r="CU99" s="20">
        <f t="shared" ca="1" si="121"/>
        <v>-7.9646017699115099E-2</v>
      </c>
      <c r="CV99" s="20">
        <f t="shared" ca="1" si="122"/>
        <v>-4.7787610619469054E-2</v>
      </c>
      <c r="CW99" s="20">
        <f t="shared" ca="1" si="123"/>
        <v>-2.6548672566371698E-2</v>
      </c>
      <c r="CX99" s="20">
        <f t="shared" ca="1" si="124"/>
        <v>-1.4055179593961487E-2</v>
      </c>
      <c r="CY99" s="20">
        <f t="shared" ca="1" si="125"/>
        <v>-7.2405470635559174E-3</v>
      </c>
      <c r="CZ99" s="20">
        <f t="shared" ca="1" si="126"/>
        <v>-3.6759700476514659E-3</v>
      </c>
      <c r="DA99" s="21">
        <f t="shared" ca="1" si="127"/>
        <v>3.6759700476514659E-3</v>
      </c>
      <c r="DB99" s="21">
        <f t="shared" ca="1" si="128"/>
        <v>7.2405470635559174E-3</v>
      </c>
      <c r="DC99" s="21">
        <f t="shared" ca="1" si="129"/>
        <v>1.4055179593961487E-2</v>
      </c>
      <c r="DD99" s="21">
        <f t="shared" ca="1" si="130"/>
        <v>2.6548672566371698E-2</v>
      </c>
      <c r="DE99" s="21">
        <f t="shared" ca="1" si="131"/>
        <v>4.7787610619469054E-2</v>
      </c>
      <c r="DF99" s="21">
        <f t="shared" ca="1" si="132"/>
        <v>7.9646017699115099E-2</v>
      </c>
      <c r="DG99" s="21">
        <f t="shared" ca="1" si="133"/>
        <v>0.11946902654867264</v>
      </c>
      <c r="DI99" s="16" cm="1">
        <f t="array" aca="1" ref="DI99" ca="1">MAX(_xlfn._xlws.FILTER(CT99:DG99,CT99:DG99&lt;BR99))</f>
        <v>-7.2405470635559174E-3</v>
      </c>
      <c r="DJ99" s="16" cm="1">
        <f t="array" aca="1" ref="DJ99" ca="1">MIN(_xlfn._xlws.FILTER(CT99:DG99,CT99:DG99&gt;BR99))</f>
        <v>-3.6759700476514659E-3</v>
      </c>
      <c r="DK99" s="2" cm="1">
        <f t="array" aca="1" ref="DK99" ca="1">_FV(EC99,"Fechamento anterior",TRUE)</f>
        <v>8.08</v>
      </c>
      <c r="DL99" s="28">
        <f t="shared" ca="1" si="106"/>
        <v>0.29524632150714181</v>
      </c>
      <c r="DM99" s="15">
        <f t="shared" ca="1" si="134"/>
        <v>8.021496379726468</v>
      </c>
      <c r="DN99" s="15">
        <f t="shared" ca="1" si="135"/>
        <v>8.0502981620149754</v>
      </c>
      <c r="DO99" s="9"/>
      <c r="DP99" s="9"/>
      <c r="DQ99" s="9"/>
      <c r="DR99" s="89">
        <v>1.1291972839735848E-2</v>
      </c>
      <c r="DS99" s="89">
        <v>9.6284667713239184E-3</v>
      </c>
      <c r="DT99" s="89">
        <v>3.5645770159044516E-3</v>
      </c>
      <c r="DU99" s="89">
        <v>3.5645770159044516E-3</v>
      </c>
      <c r="DV99" s="89">
        <f t="shared" ca="1" si="107"/>
        <v>3.5645770159044516E-3</v>
      </c>
      <c r="DW99" s="72">
        <f t="shared" ca="1" si="108"/>
        <v>6.6130585708460324E-2</v>
      </c>
      <c r="DX99" s="37"/>
      <c r="DY99" s="35">
        <f t="shared" si="118"/>
        <v>0.28731032390469746</v>
      </c>
      <c r="DZ99" s="56"/>
      <c r="EA99" s="56"/>
      <c r="EC99" s="2" t="e" vm="99">
        <v>#VALUE!</v>
      </c>
      <c r="EE99" s="10" cm="1">
        <f t="array" aca="1" ref="EE99" ca="1">_FV(EC99,"Ações em circulação",TRUE)</f>
        <v>1136271000</v>
      </c>
      <c r="EF99" s="18">
        <f>VLOOKUP(BM99,Fundamentus!A:U,5,FALSE)</f>
        <v>1</v>
      </c>
      <c r="EG99" s="2">
        <f t="shared" ca="1" si="109"/>
        <v>9124256130</v>
      </c>
      <c r="EH99" s="17">
        <v>1216263342.1289999</v>
      </c>
      <c r="EI99" s="17">
        <f t="shared" ca="1" si="110"/>
        <v>1216263342.1289999</v>
      </c>
      <c r="EK99" s="16">
        <f t="shared" ca="1" si="97"/>
        <v>0</v>
      </c>
      <c r="EL99" s="32" t="str">
        <f>IF(VLOOKUP(BM99,Fundamentus!A:U,3,FALSE)&lt;15,"Bom",IF(VLOOKUP(BM99,Fundamentus!A:U,3,FALSE)&gt;15,"Ruim","n/a"))</f>
        <v>Bom</v>
      </c>
      <c r="EM99" s="28" t="str">
        <f>IF(VLOOKUP(BM99,Fundamentus!A:U,4,FALSE)&lt;1,"Baixo",IF(VLOOKUP(BM99,Fundamentus!A:U,4,FALSE)&lt;1.5,"Moderado",IF(VLOOKUP(BM99,Fundamentus!A:U,4,FALSE)&gt;1.5,"Alto","n/a")))</f>
        <v>Alto</v>
      </c>
      <c r="EN99" s="17" t="str">
        <f>IF(VLOOKUP(BM99,Fundamentus!A:U,8,FALSE)&lt;0,"Risco elevado",IF(VLOOKUP(BM99,Fundamentus!A:U,8,FALSE)&lt;1,"Saudável",IF(VLOOKUP(BM99,Fundamentus!A:U,8,FALSE)&lt;3,"Estável",IF(VLOOKUP(BM99,Fundamentus!A:U,8,FALSE)&gt;3,"Alerta","n/a"))))</f>
        <v>Alerta</v>
      </c>
      <c r="EO99" s="28" t="str">
        <f t="shared" si="111"/>
        <v>Ruim</v>
      </c>
      <c r="EP99" s="17" t="str">
        <f>IF(VLOOKUP(BM99,Fundamentus!A:U,12,FALSE)&lt;2,"Subvalorizada",IF(VLOOKUP(BM99,Fundamentus!A:U,12,FALSE)&lt;6,"Muita barata",IF(VLOOKUP(BM99,Fundamentus!A:U,12,FALSE)&lt;6,"Barata",IF(VLOOKUP(BM99,Fundamentus!A:U,12,FALSE)&lt;8,"Atrativa",IF(VLOOKUP(BM99,Fundamentus!A:U,12,FALSE)&gt;8,"Supervalorizada","n/a")))))</f>
        <v>Atrativa</v>
      </c>
      <c r="ER99" s="17" t="str">
        <f>IF(VLOOKUP(BM99,Fundamentus!A:U,17,FALSE)&lt;0.1,"Fraco retorno",IF(VLOOKUP(BM99,Fundamentus!A:U,17,FALSE)&gt;0.1,"Bom retorno","n/a"))</f>
        <v>Bom retorno</v>
      </c>
      <c r="ES99" s="17" t="str">
        <f>IF(VLOOKUP(BM99,Fundamentus!A:U,16,FALSE)&lt;0.1,"Ineficiente",IF(VLOOKUP(BM99,Fundamentus!A:U,16,FALSE)&gt;0.1,"Eficiente","n/a"))</f>
        <v>Eficiente</v>
      </c>
      <c r="ET99" s="33" t="str">
        <f>IF(VLOOKUP(BM99,Fundamentus!A:U,16,FALSE)&lt;0.1,"Oper. Ineficiente",IF(VLOOKUP(BM99,Fundamentus!A:U,16,FALSE)&gt;0.1,"Oper.Eficiente","n/a"))</f>
        <v>Oper.Eficiente</v>
      </c>
      <c r="EU99" s="34">
        <f>VLOOKUP(BM99,Fundamentus!A:U,14,FALSE)</f>
        <v>0.1333</v>
      </c>
      <c r="EV99" s="17" t="str">
        <f>IF(VLOOKUP(BM99,Fundamentus!A:U,21,FALSE)&lt;0,"Negativo",IF(VLOOKUP(BM99,Fundamentus!A:U,21,FALSE)&lt;0.05,"Fraco",IF(VLOOKUP(BM99,Fundamentus!A:U,21,FALSE)&lt;0.1,"Bom",IF(VLOOKUP(BM99,Fundamentus!A:U,21,FALSE)&gt;0.1,"Muito bom","n/a"))))</f>
        <v>Muito bom</v>
      </c>
      <c r="EX99" s="29" t="str">
        <f>IF(VLOOKUP(BM99,Fundamentus!A:U,15,FALSE)&gt;1,"Bom",IF(VLOOKUP(BM99,Fundamentus!A:U,15,FALSE)&lt;1,"Ruim","n/a"))</f>
        <v>Bom</v>
      </c>
      <c r="EY99" s="17" t="str">
        <f>IF(VLOOKUP(BM99,Fundamentus!A:U,20,FALSE)&lt;0.5,"Baixa",IF(VLOOKUP(BM99,Fundamentus!A:U,20,FALSE)&lt;1,"Moderada",IF(VLOOKUP(BM99,Fundamentus!A:U,20,FALSE)&lt;2,"Alerta",IF(VLOOKUP(BM99,Fundamentus!A:U,20,FALSE)&gt;2,"Alta","n/a"))))</f>
        <v>Moderada</v>
      </c>
      <c r="EZ99" s="10"/>
    </row>
    <row r="100" spans="1:156" s="2" customFormat="1" ht="11.25" x14ac:dyDescent="0.2">
      <c r="A100" s="4">
        <v>63.99</v>
      </c>
      <c r="B100" s="4">
        <v>64.510000000000005</v>
      </c>
      <c r="C100" s="4">
        <v>66.180000000000007</v>
      </c>
      <c r="D100" s="4">
        <v>64.95</v>
      </c>
      <c r="E100" s="4">
        <v>63.2</v>
      </c>
      <c r="F100" s="4">
        <v>60.41</v>
      </c>
      <c r="G100" s="4">
        <v>60.62</v>
      </c>
      <c r="H100" s="4">
        <v>60.83</v>
      </c>
      <c r="I100" s="4">
        <v>62.31</v>
      </c>
      <c r="J100" s="4">
        <v>63.6</v>
      </c>
      <c r="K100" s="4">
        <v>62.92</v>
      </c>
      <c r="L100" s="4">
        <v>61.12</v>
      </c>
      <c r="M100" s="4">
        <v>61.47</v>
      </c>
      <c r="N100" s="4">
        <v>59.41</v>
      </c>
      <c r="O100" s="4">
        <v>57.06</v>
      </c>
      <c r="P100" s="4">
        <v>56.13</v>
      </c>
      <c r="Q100" s="4">
        <v>57.4</v>
      </c>
      <c r="R100" s="4">
        <v>59.58</v>
      </c>
      <c r="S100" s="4">
        <v>56.68</v>
      </c>
      <c r="T100" s="4">
        <v>58.5</v>
      </c>
      <c r="U100" s="4">
        <v>57.35</v>
      </c>
      <c r="V100" s="4">
        <v>63.96</v>
      </c>
      <c r="W100" s="4">
        <v>62.48</v>
      </c>
      <c r="X100" s="4">
        <v>62.13</v>
      </c>
      <c r="Y100" s="4">
        <v>59.95</v>
      </c>
      <c r="Z100" s="4">
        <v>61.73</v>
      </c>
      <c r="AA100" s="4">
        <v>62.03</v>
      </c>
      <c r="AB100" s="4">
        <v>60.58</v>
      </c>
      <c r="AC100" s="4">
        <v>56.84</v>
      </c>
      <c r="AD100" s="4">
        <v>58.18</v>
      </c>
      <c r="AE100" s="4">
        <v>58.78</v>
      </c>
      <c r="AF100" s="4">
        <v>56.81</v>
      </c>
      <c r="AG100" s="4">
        <v>55.86</v>
      </c>
      <c r="AH100" s="4">
        <v>54.85</v>
      </c>
      <c r="AI100" s="4">
        <v>54.74</v>
      </c>
      <c r="AJ100" s="4">
        <v>53.24</v>
      </c>
      <c r="AK100" s="4">
        <v>51.52</v>
      </c>
      <c r="AL100" s="4">
        <v>54.49</v>
      </c>
      <c r="AM100" s="4">
        <v>53.03</v>
      </c>
      <c r="AN100" s="4">
        <v>54.17</v>
      </c>
      <c r="AO100" s="4">
        <v>54.83</v>
      </c>
      <c r="AP100" s="4">
        <v>55.67</v>
      </c>
      <c r="AQ100" s="4">
        <v>58.16</v>
      </c>
      <c r="AR100" s="4">
        <v>55.15</v>
      </c>
      <c r="AS100" s="4">
        <v>57.02</v>
      </c>
      <c r="AT100" s="4">
        <v>56.29</v>
      </c>
      <c r="AU100" s="4">
        <v>57.14</v>
      </c>
      <c r="AV100" s="4">
        <v>57.56</v>
      </c>
      <c r="AW100" s="4">
        <v>52.68</v>
      </c>
      <c r="AX100" s="4">
        <v>53.66</v>
      </c>
      <c r="AY100" s="12">
        <v>52.88</v>
      </c>
      <c r="AZ100" s="12">
        <v>53.85</v>
      </c>
      <c r="BA100" s="12">
        <v>52.86</v>
      </c>
      <c r="BB100" s="15">
        <v>52.74</v>
      </c>
      <c r="BC100" s="52">
        <v>55.45</v>
      </c>
      <c r="BD100" s="52">
        <v>54.32</v>
      </c>
      <c r="BE100" s="52">
        <v>52.1</v>
      </c>
      <c r="BF100" s="52">
        <v>52.98</v>
      </c>
      <c r="BG100" s="67">
        <v>52.13</v>
      </c>
      <c r="BH100" s="52">
        <v>49.92</v>
      </c>
      <c r="BI100" s="52">
        <v>53</v>
      </c>
      <c r="BJ100" s="52">
        <v>55.2</v>
      </c>
      <c r="BK100" s="52">
        <v>56</v>
      </c>
      <c r="BL100" s="52" cm="1">
        <f t="array" aca="1" ref="BL100" ca="1">_FV(EC100,"Preço")</f>
        <v>56</v>
      </c>
      <c r="BM100" s="69" t="s">
        <v>97</v>
      </c>
      <c r="BN100" s="36" cm="1">
        <f t="array" aca="1" ref="BN100" ca="1">_FV(EC100,"Média de volume",TRUE)</f>
        <v>25294550</v>
      </c>
      <c r="BO100" s="36">
        <v>18292700</v>
      </c>
      <c r="BP100" s="36" cm="1">
        <f t="array" aca="1" ref="BP100" ca="1">_FV(EC100,"Volume")</f>
        <v>18292700</v>
      </c>
      <c r="BQ100" s="24" cm="1">
        <f t="array" aca="1" ref="BQ100" ca="1">_FV(EC100,"Beta")</f>
        <v>0.77990000000000004</v>
      </c>
      <c r="BR100" s="71" cm="1">
        <f t="array" aca="1" ref="BR100" ca="1">_FV(EC100,"Variação (%)",TRUE)</f>
        <v>1.3025E-2</v>
      </c>
      <c r="BT100" s="17" cm="1">
        <f t="array" aca="1" ref="BT100" ca="1">_FV(EC100,"Baixo")</f>
        <v>55.01</v>
      </c>
      <c r="BU100" s="17" cm="1">
        <f t="array" aca="1" ref="BU100" ca="1">_FV(EC100,"Alto")</f>
        <v>56.22</v>
      </c>
      <c r="BV100" s="24"/>
      <c r="BW100" s="63">
        <f ca="1">SQRT(22.5*(BL100/VLOOKUP(BM100,Fundamentus!A:U,3,FALSE))*(BL100/VLOOKUP(BM100,Fundamentus!A:U,4,FALSE)))</f>
        <v>89.552442370566041</v>
      </c>
      <c r="BY100" s="62">
        <f t="shared" ca="1" si="112"/>
        <v>0</v>
      </c>
      <c r="BZ100" s="8"/>
      <c r="CA100" s="61">
        <f t="shared" si="113"/>
        <v>49.92</v>
      </c>
      <c r="CB100" s="61">
        <f t="shared" si="114"/>
        <v>66.180000000000007</v>
      </c>
      <c r="CC100" s="61">
        <f t="shared" si="115"/>
        <v>57.542539682539662</v>
      </c>
      <c r="CD100" s="14"/>
      <c r="CE100" s="35">
        <f t="shared" si="98"/>
        <v>50.566062218249257</v>
      </c>
      <c r="CF100" s="15">
        <f t="shared" si="116"/>
        <v>54.552000000001499</v>
      </c>
      <c r="CG100" s="35">
        <f t="shared" si="99"/>
        <v>58.53793778175374</v>
      </c>
      <c r="CI100" s="14"/>
      <c r="CJ100" s="17">
        <f t="shared" si="100"/>
        <v>31.759999999999991</v>
      </c>
      <c r="CK100" s="17">
        <f t="shared" si="101"/>
        <v>40.839999999999996</v>
      </c>
      <c r="CL100" s="17">
        <f t="shared" si="102"/>
        <v>48.019999999999996</v>
      </c>
      <c r="CM100" s="38">
        <f t="shared" si="117"/>
        <v>57.1</v>
      </c>
      <c r="CN100" s="17">
        <f t="shared" si="103"/>
        <v>64.28</v>
      </c>
      <c r="CO100" s="17">
        <f t="shared" si="104"/>
        <v>73.360000000000014</v>
      </c>
      <c r="CP100" s="17">
        <f t="shared" si="105"/>
        <v>80.540000000000006</v>
      </c>
      <c r="CQ100" s="2" cm="1">
        <f t="array" aca="1" ref="CQ100" ca="1">MAX(_xlfn._xlws.FILTER(CJ100:CP100,CJ100:CP100&lt;BL100))</f>
        <v>48.019999999999996</v>
      </c>
      <c r="CR100" s="2" cm="1">
        <f t="array" aca="1" ref="CR100" ca="1">MIN(_xlfn._xlws.FILTER($CJ100:$CP100,$CJ100:$CP100&gt;BL100))</f>
        <v>57.1</v>
      </c>
      <c r="CS100" s="16">
        <f t="shared" ca="1" si="119"/>
        <v>0.18908788004997934</v>
      </c>
      <c r="CT100" s="20">
        <f t="shared" ca="1" si="120"/>
        <v>-9.454394002498967E-2</v>
      </c>
      <c r="CU100" s="20">
        <f t="shared" ca="1" si="121"/>
        <v>-6.3029293349993118E-2</v>
      </c>
      <c r="CV100" s="20">
        <f t="shared" ca="1" si="122"/>
        <v>-3.7817576009995871E-2</v>
      </c>
      <c r="CW100" s="20">
        <f t="shared" ca="1" si="123"/>
        <v>-2.1009764449997706E-2</v>
      </c>
      <c r="CX100" s="20">
        <f t="shared" ca="1" si="124"/>
        <v>-1.1122816473528196E-2</v>
      </c>
      <c r="CY100" s="20">
        <f t="shared" ca="1" si="125"/>
        <v>-5.7299357590902831E-3</v>
      </c>
      <c r="CZ100" s="20">
        <f t="shared" ca="1" si="126"/>
        <v>-2.9090443084612205E-3</v>
      </c>
      <c r="DA100" s="21">
        <f t="shared" ca="1" si="127"/>
        <v>2.9090443084612205E-3</v>
      </c>
      <c r="DB100" s="21">
        <f t="shared" ca="1" si="128"/>
        <v>5.7299357590902831E-3</v>
      </c>
      <c r="DC100" s="21">
        <f t="shared" ca="1" si="129"/>
        <v>1.1122816473528196E-2</v>
      </c>
      <c r="DD100" s="21">
        <f t="shared" ca="1" si="130"/>
        <v>2.1009764449997706E-2</v>
      </c>
      <c r="DE100" s="21">
        <f t="shared" ca="1" si="131"/>
        <v>3.7817576009995871E-2</v>
      </c>
      <c r="DF100" s="21">
        <f t="shared" ca="1" si="132"/>
        <v>6.3029293349993118E-2</v>
      </c>
      <c r="DG100" s="21">
        <f t="shared" ca="1" si="133"/>
        <v>9.454394002498967E-2</v>
      </c>
      <c r="DI100" s="16" cm="1">
        <f t="array" aca="1" ref="DI100" ca="1">MAX(_xlfn._xlws.FILTER(CT100:DG100,CT100:DG100&lt;BR100))</f>
        <v>1.1122816473528196E-2</v>
      </c>
      <c r="DJ100" s="16" cm="1">
        <f t="array" aca="1" ref="DJ100" ca="1">MIN(_xlfn._xlws.FILTER(CT100:DG100,CT100:DG100&gt;BR100))</f>
        <v>2.1009764449997706E-2</v>
      </c>
      <c r="DK100" s="2" cm="1">
        <f t="array" aca="1" ref="DK100" ca="1">_FV(EC100,"Fechamento anterior",TRUE)</f>
        <v>55.28</v>
      </c>
      <c r="DL100" s="28">
        <f t="shared" ca="1" si="106"/>
        <v>0.19235314649649124</v>
      </c>
      <c r="DM100" s="15">
        <f t="shared" ca="1" si="134"/>
        <v>55.894869294656637</v>
      </c>
      <c r="DN100" s="15">
        <f t="shared" ca="1" si="135"/>
        <v>56.441419778795876</v>
      </c>
      <c r="DO100" s="9"/>
      <c r="DP100" s="9"/>
      <c r="DQ100" s="9"/>
      <c r="DR100" s="89">
        <v>6.0617909430631832E-3</v>
      </c>
      <c r="DS100" s="89">
        <v>1.0637588368680801E-2</v>
      </c>
      <c r="DT100" s="89">
        <v>5.818088616922441E-3</v>
      </c>
      <c r="DU100" s="89">
        <v>9.8869479764695095E-3</v>
      </c>
      <c r="DV100" s="89">
        <f t="shared" ca="1" si="107"/>
        <v>9.8869479764695095E-3</v>
      </c>
      <c r="DW100" s="72">
        <f t="shared" ca="1" si="108"/>
        <v>0.36327712053798089</v>
      </c>
      <c r="DX100" s="37"/>
      <c r="DY100" s="35">
        <f t="shared" si="118"/>
        <v>1.9929688908761218</v>
      </c>
      <c r="DZ100" s="56"/>
      <c r="EA100" s="56"/>
      <c r="EC100" s="2" t="e" vm="100">
        <v>#VALUE!</v>
      </c>
      <c r="EE100" s="10" cm="1">
        <f t="array" aca="1" ref="EE100" ca="1">_FV(EC100,"Ações em circulação",TRUE)</f>
        <v>4539008000</v>
      </c>
      <c r="EF100" s="18">
        <f>VLOOKUP(BM100,Fundamentus!A:U,5,FALSE)</f>
        <v>1.119</v>
      </c>
      <c r="EG100" s="2">
        <f t="shared" ca="1" si="109"/>
        <v>227153215370.86685</v>
      </c>
      <c r="EH100" s="17">
        <v>32505625119.571049</v>
      </c>
      <c r="EI100" s="17">
        <f t="shared" ca="1" si="110"/>
        <v>32505625119.571049</v>
      </c>
      <c r="EK100" s="16">
        <f t="shared" ca="1" si="97"/>
        <v>0</v>
      </c>
      <c r="EL100" s="32" t="str">
        <f>IF(VLOOKUP(BM100,Fundamentus!A:U,3,FALSE)&lt;15,"Bom",IF(VLOOKUP(BM100,Fundamentus!A:U,3,FALSE)&gt;15,"Ruim","n/a"))</f>
        <v>Bom</v>
      </c>
      <c r="EM100" s="28" t="str">
        <f>IF(VLOOKUP(BM100,Fundamentus!A:U,4,FALSE)&lt;1,"Baixo",IF(VLOOKUP(BM100,Fundamentus!A:U,4,FALSE)&lt;1.5,"Moderado",IF(VLOOKUP(BM100,Fundamentus!A:U,4,FALSE)&gt;1.5,"Alto","n/a")))</f>
        <v>Moderado</v>
      </c>
      <c r="EN100" s="17" t="str">
        <f>IF(VLOOKUP(BM100,Fundamentus!A:U,8,FALSE)&lt;0,"Risco elevado",IF(VLOOKUP(BM100,Fundamentus!A:U,8,FALSE)&lt;1,"Saudável",IF(VLOOKUP(BM100,Fundamentus!A:U,8,FALSE)&lt;3,"Estável",IF(VLOOKUP(BM100,Fundamentus!A:U,8,FALSE)&gt;3,"Alerta","n/a"))))</f>
        <v>Alerta</v>
      </c>
      <c r="EO100" s="28" t="str">
        <f t="shared" si="111"/>
        <v>Bom</v>
      </c>
      <c r="EP100" s="17" t="str">
        <f>IF(VLOOKUP(BM100,Fundamentus!A:U,12,FALSE)&lt;2,"Subvalorizada",IF(VLOOKUP(BM100,Fundamentus!A:U,12,FALSE)&lt;6,"Muita barata",IF(VLOOKUP(BM100,Fundamentus!A:U,12,FALSE)&lt;6,"Barata",IF(VLOOKUP(BM100,Fundamentus!A:U,12,FALSE)&lt;8,"Atrativa",IF(VLOOKUP(BM100,Fundamentus!A:U,12,FALSE)&gt;8,"Supervalorizada","n/a")))))</f>
        <v>Muita barata</v>
      </c>
      <c r="ER100" s="17" t="str">
        <f>IF(VLOOKUP(BM100,Fundamentus!A:U,17,FALSE)&lt;0.1,"Fraco retorno",IF(VLOOKUP(BM100,Fundamentus!A:U,17,FALSE)&gt;0.1,"Bom retorno","n/a"))</f>
        <v>Bom retorno</v>
      </c>
      <c r="ES100" s="17" t="str">
        <f>IF(VLOOKUP(BM100,Fundamentus!A:U,16,FALSE)&lt;0.1,"Ineficiente",IF(VLOOKUP(BM100,Fundamentus!A:U,16,FALSE)&gt;0.1,"Eficiente","n/a"))</f>
        <v>Eficiente</v>
      </c>
      <c r="ET100" s="33" t="str">
        <f>IF(VLOOKUP(BM100,Fundamentus!A:U,16,FALSE)&lt;0.1,"Oper. Ineficiente",IF(VLOOKUP(BM100,Fundamentus!A:U,16,FALSE)&gt;0.1,"Oper.Eficiente","n/a"))</f>
        <v>Oper.Eficiente</v>
      </c>
      <c r="EU100" s="34">
        <f>VLOOKUP(BM100,Fundamentus!A:U,14,FALSE)</f>
        <v>0.1431</v>
      </c>
      <c r="EV100" s="17" t="str">
        <f>IF(VLOOKUP(BM100,Fundamentus!A:U,21,FALSE)&lt;0,"Negativo",IF(VLOOKUP(BM100,Fundamentus!A:U,21,FALSE)&lt;0.05,"Fraco",IF(VLOOKUP(BM100,Fundamentus!A:U,21,FALSE)&lt;0.1,"Bom",IF(VLOOKUP(BM100,Fundamentus!A:U,21,FALSE)&gt;0.1,"Muito bom","n/a"))))</f>
        <v>Negativo</v>
      </c>
      <c r="EX100" s="29" t="str">
        <f>IF(VLOOKUP(BM100,Fundamentus!A:U,15,FALSE)&gt;1,"Bom",IF(VLOOKUP(BM100,Fundamentus!A:U,15,FALSE)&lt;1,"Ruim","n/a"))</f>
        <v>Bom</v>
      </c>
      <c r="EY100" s="17" t="str">
        <f>IF(VLOOKUP(BM100,Fundamentus!A:U,20,FALSE)&lt;0.5,"Baixa",IF(VLOOKUP(BM100,Fundamentus!A:U,20,FALSE)&lt;1,"Moderada",IF(VLOOKUP(BM100,Fundamentus!A:U,20,FALSE)&lt;2,"Alerta",IF(VLOOKUP(BM100,Fundamentus!A:U,20,FALSE)&gt;2,"Alta","n/a"))))</f>
        <v>Baixa</v>
      </c>
      <c r="EZ100" s="10"/>
    </row>
    <row r="101" spans="1:156" s="2" customFormat="1" ht="11.25" x14ac:dyDescent="0.2">
      <c r="A101" s="4">
        <v>26.24</v>
      </c>
      <c r="B101" s="4">
        <v>26.17</v>
      </c>
      <c r="C101" s="4">
        <v>27.6</v>
      </c>
      <c r="D101" s="4">
        <v>25.92</v>
      </c>
      <c r="E101" s="4">
        <v>24.98</v>
      </c>
      <c r="F101" s="4">
        <v>25.32</v>
      </c>
      <c r="G101" s="4">
        <v>25.7</v>
      </c>
      <c r="H101" s="4">
        <v>25.8</v>
      </c>
      <c r="I101" s="4">
        <v>25.54</v>
      </c>
      <c r="J101" s="4">
        <v>25.29</v>
      </c>
      <c r="K101" s="4">
        <v>25.76</v>
      </c>
      <c r="L101" s="4">
        <v>25.77</v>
      </c>
      <c r="M101" s="4">
        <v>27</v>
      </c>
      <c r="N101" s="4">
        <v>28.4</v>
      </c>
      <c r="O101" s="4">
        <v>29.34</v>
      </c>
      <c r="P101" s="4">
        <v>29.5</v>
      </c>
      <c r="Q101" s="4">
        <v>27.86</v>
      </c>
      <c r="R101" s="4">
        <v>27.56</v>
      </c>
      <c r="S101" s="4">
        <v>27.44</v>
      </c>
      <c r="T101" s="4">
        <v>26.7</v>
      </c>
      <c r="U101" s="4">
        <v>26.97</v>
      </c>
      <c r="V101" s="4">
        <v>25.7</v>
      </c>
      <c r="W101" s="4">
        <v>25.38</v>
      </c>
      <c r="X101" s="4">
        <v>24.38</v>
      </c>
      <c r="Y101" s="4">
        <v>25.14</v>
      </c>
      <c r="Z101" s="4">
        <v>24.44</v>
      </c>
      <c r="AA101" s="4">
        <v>24.3</v>
      </c>
      <c r="AB101" s="4">
        <v>25.45</v>
      </c>
      <c r="AC101" s="4">
        <v>25.43</v>
      </c>
      <c r="AD101" s="4">
        <v>26.02</v>
      </c>
      <c r="AE101" s="4">
        <v>24.08</v>
      </c>
      <c r="AF101" s="4">
        <v>24.14</v>
      </c>
      <c r="AG101" s="4">
        <v>23.6</v>
      </c>
      <c r="AH101" s="4">
        <v>22.62</v>
      </c>
      <c r="AI101" s="4">
        <v>22</v>
      </c>
      <c r="AJ101" s="4">
        <v>20.8</v>
      </c>
      <c r="AK101" s="4">
        <v>20.97</v>
      </c>
      <c r="AL101" s="4">
        <v>21.23</v>
      </c>
      <c r="AM101" s="4">
        <v>20.78</v>
      </c>
      <c r="AN101" s="4">
        <v>21.09</v>
      </c>
      <c r="AO101" s="4">
        <v>20.12</v>
      </c>
      <c r="AP101" s="4">
        <v>20</v>
      </c>
      <c r="AQ101" s="4">
        <v>19.059999999999999</v>
      </c>
      <c r="AR101" s="4">
        <v>17.38</v>
      </c>
      <c r="AS101" s="4">
        <v>17.809999999999999</v>
      </c>
      <c r="AT101" s="4">
        <v>19.18</v>
      </c>
      <c r="AU101" s="4">
        <v>19.66</v>
      </c>
      <c r="AV101" s="4">
        <v>19.34</v>
      </c>
      <c r="AW101" s="4">
        <v>19.53</v>
      </c>
      <c r="AX101" s="4">
        <v>21.38</v>
      </c>
      <c r="AY101" s="12">
        <v>20.69</v>
      </c>
      <c r="AZ101" s="12">
        <v>20.100000000000001</v>
      </c>
      <c r="BA101" s="12">
        <v>19.84</v>
      </c>
      <c r="BB101" s="15">
        <v>16.309999999999999</v>
      </c>
      <c r="BC101" s="52">
        <v>15.3</v>
      </c>
      <c r="BD101" s="52">
        <v>14.67</v>
      </c>
      <c r="BE101" s="52">
        <v>14.85</v>
      </c>
      <c r="BF101" s="52">
        <v>15.15</v>
      </c>
      <c r="BG101" s="67">
        <v>13.88</v>
      </c>
      <c r="BH101" s="52">
        <v>14</v>
      </c>
      <c r="BI101" s="52">
        <v>14.99</v>
      </c>
      <c r="BJ101" s="52">
        <v>15.3</v>
      </c>
      <c r="BK101" s="52">
        <v>13.76</v>
      </c>
      <c r="BL101" s="52" cm="1">
        <f t="array" aca="1" ref="BL101" ca="1">_FV(EC101,"Preço")</f>
        <v>13.76</v>
      </c>
      <c r="BM101" s="69" t="s">
        <v>98</v>
      </c>
      <c r="BN101" s="36" cm="1">
        <f t="array" aca="1" ref="BN101" ca="1">_FV(EC101,"Média de volume",TRUE)</f>
        <v>12691090</v>
      </c>
      <c r="BO101" s="36">
        <v>9517100</v>
      </c>
      <c r="BP101" s="36" cm="1">
        <f t="array" aca="1" ref="BP101" ca="1">_FV(EC101,"Volume")</f>
        <v>9517100</v>
      </c>
      <c r="BQ101" s="24" cm="1">
        <f t="array" aca="1" ref="BQ101" ca="1">_FV(EC101,"Beta")</f>
        <v>0.78539999999999999</v>
      </c>
      <c r="BR101" s="71" cm="1">
        <f t="array" aca="1" ref="BR101" ca="1">_FV(EC101,"Variação (%)",TRUE)</f>
        <v>-1.2912E-2</v>
      </c>
      <c r="BT101" s="17" cm="1">
        <f t="array" aca="1" ref="BT101" ca="1">_FV(EC101,"Baixo")</f>
        <v>13.64</v>
      </c>
      <c r="BU101" s="17" cm="1">
        <f t="array" aca="1" ref="BU101" ca="1">_FV(EC101,"Alto")</f>
        <v>13.94</v>
      </c>
      <c r="BV101" s="24"/>
      <c r="BW101" s="63">
        <f ca="1">SQRT(22.5*(BL101/VLOOKUP(BM101,Fundamentus!A:U,3,FALSE))*(BL101/VLOOKUP(BM101,Fundamentus!A:U,4,FALSE)))</f>
        <v>7.5553016464513565</v>
      </c>
      <c r="BY101" s="62">
        <f t="shared" ca="1" si="112"/>
        <v>0</v>
      </c>
      <c r="BZ101" s="8"/>
      <c r="CA101" s="61">
        <f t="shared" si="113"/>
        <v>13.76</v>
      </c>
      <c r="CB101" s="61">
        <f t="shared" si="114"/>
        <v>29.5</v>
      </c>
      <c r="CC101" s="61">
        <f t="shared" si="115"/>
        <v>22.392222222222223</v>
      </c>
      <c r="CD101" s="14"/>
      <c r="CE101" s="35">
        <f t="shared" si="98"/>
        <v>13.205264250559196</v>
      </c>
      <c r="CF101" s="15">
        <f t="shared" si="116"/>
        <v>14.491999999999962</v>
      </c>
      <c r="CG101" s="35">
        <f t="shared" si="99"/>
        <v>15.778735749440727</v>
      </c>
      <c r="CI101" s="14"/>
      <c r="CJ101" s="17">
        <f t="shared" si="100"/>
        <v>-6.2000000000000011</v>
      </c>
      <c r="CK101" s="17">
        <f t="shared" si="101"/>
        <v>3.7799999999999994</v>
      </c>
      <c r="CL101" s="17">
        <f t="shared" si="102"/>
        <v>9.5399999999999991</v>
      </c>
      <c r="CM101" s="38">
        <f t="shared" si="117"/>
        <v>19.52</v>
      </c>
      <c r="CN101" s="17">
        <f t="shared" si="103"/>
        <v>25.28</v>
      </c>
      <c r="CO101" s="17">
        <f t="shared" si="104"/>
        <v>35.26</v>
      </c>
      <c r="CP101" s="17">
        <f t="shared" si="105"/>
        <v>41.019999999999996</v>
      </c>
      <c r="CQ101" s="2" cm="1">
        <f t="array" aca="1" ref="CQ101" ca="1">MAX(_xlfn._xlws.FILTER(CJ101:CP101,CJ101:CP101&lt;BL101))</f>
        <v>9.5399999999999991</v>
      </c>
      <c r="CR101" s="2" cm="1">
        <f t="array" aca="1" ref="CR101" ca="1">MIN(_xlfn._xlws.FILTER($CJ101:$CP101,$CJ101:$CP101&gt;BL101))</f>
        <v>19.52</v>
      </c>
      <c r="CS101" s="16">
        <f t="shared" ca="1" si="119"/>
        <v>1.0461215932914047</v>
      </c>
      <c r="CT101" s="20">
        <f t="shared" ca="1" si="120"/>
        <v>-0.52306079664570237</v>
      </c>
      <c r="CU101" s="20">
        <f t="shared" ca="1" si="121"/>
        <v>-0.3487071977638016</v>
      </c>
      <c r="CV101" s="20">
        <f t="shared" ca="1" si="122"/>
        <v>-0.20922431865828095</v>
      </c>
      <c r="CW101" s="20">
        <f t="shared" ca="1" si="123"/>
        <v>-0.11623573258793386</v>
      </c>
      <c r="CX101" s="20">
        <f t="shared" ca="1" si="124"/>
        <v>-6.1536564311259104E-2</v>
      </c>
      <c r="CY101" s="20">
        <f t="shared" ca="1" si="125"/>
        <v>-3.1700654342163778E-2</v>
      </c>
      <c r="CZ101" s="20">
        <f t="shared" ca="1" si="126"/>
        <v>-1.6094178358329304E-2</v>
      </c>
      <c r="DA101" s="21">
        <f t="shared" ca="1" si="127"/>
        <v>1.6094178358329304E-2</v>
      </c>
      <c r="DB101" s="21">
        <f t="shared" ca="1" si="128"/>
        <v>3.1700654342163778E-2</v>
      </c>
      <c r="DC101" s="21">
        <f t="shared" ca="1" si="129"/>
        <v>6.1536564311259104E-2</v>
      </c>
      <c r="DD101" s="21">
        <f t="shared" ca="1" si="130"/>
        <v>0.11623573258793386</v>
      </c>
      <c r="DE101" s="21">
        <f t="shared" ca="1" si="131"/>
        <v>0.20922431865828095</v>
      </c>
      <c r="DF101" s="21">
        <f t="shared" ca="1" si="132"/>
        <v>0.3487071977638016</v>
      </c>
      <c r="DG101" s="21">
        <f t="shared" ca="1" si="133"/>
        <v>0.52306079664570237</v>
      </c>
      <c r="DI101" s="16" cm="1">
        <f t="array" aca="1" ref="DI101" ca="1">MAX(_xlfn._xlws.FILTER(CT101:DG101,CT101:DG101&lt;BR101))</f>
        <v>-1.6094178358329304E-2</v>
      </c>
      <c r="DJ101" s="16" cm="1">
        <f t="array" aca="1" ref="DJ101" ca="1">MIN(_xlfn._xlws.FILTER(CT101:DG101,CT101:DG101&gt;BR101))</f>
        <v>1.6094178358329304E-2</v>
      </c>
      <c r="DK101" s="2" cm="1">
        <f t="array" aca="1" ref="DK101" ca="1">_FV(EC101,"Fechamento anterior",TRUE)</f>
        <v>13.94</v>
      </c>
      <c r="DL101" s="28">
        <f t="shared" ca="1" si="106"/>
        <v>9.8846185915590121E-2</v>
      </c>
      <c r="DM101" s="15">
        <f t="shared" ca="1" si="134"/>
        <v>13.715647153684889</v>
      </c>
      <c r="DN101" s="15">
        <f t="shared" ca="1" si="135"/>
        <v>14.16435284631511</v>
      </c>
      <c r="DO101" s="9"/>
      <c r="DP101" s="9"/>
      <c r="DQ101" s="9"/>
      <c r="DR101" s="89">
        <v>3.1339031339031341E-2</v>
      </c>
      <c r="DS101" s="89">
        <v>3.4242136516405147E-2</v>
      </c>
      <c r="DT101" s="89">
        <v>3.1792739485047149E-2</v>
      </c>
      <c r="DU101" s="89">
        <v>3.1792739485047149E-2</v>
      </c>
      <c r="DV101" s="89">
        <f t="shared" ca="1" si="107"/>
        <v>3.2188356716658609E-2</v>
      </c>
      <c r="DW101" s="72">
        <f t="shared" ca="1" si="108"/>
        <v>-0.56888137313205145</v>
      </c>
      <c r="DX101" s="37"/>
      <c r="DY101" s="35">
        <f t="shared" si="118"/>
        <v>0.64336787472038293</v>
      </c>
      <c r="DZ101" s="56"/>
      <c r="EA101" s="56"/>
      <c r="EC101" s="2" t="e" vm="101">
        <v>#VALUE!</v>
      </c>
      <c r="EE101" s="10" cm="1">
        <f t="array" aca="1" ref="EE101" ca="1">_FV(EC101,"Ações em circulação",TRUE)</f>
        <v>1718007000</v>
      </c>
      <c r="EF101" s="18">
        <f>VLOOKUP(BM101,Fundamentus!A:U,5,FALSE)</f>
        <v>0.59899999999999998</v>
      </c>
      <c r="EG101" s="2">
        <f t="shared" ca="1" si="109"/>
        <v>39465402871.452423</v>
      </c>
      <c r="EH101" s="17">
        <v>1172122465.2821369</v>
      </c>
      <c r="EI101" s="17">
        <f t="shared" ca="1" si="110"/>
        <v>1172122465.2821369</v>
      </c>
      <c r="EK101" s="16">
        <f t="shared" ca="1" si="97"/>
        <v>0</v>
      </c>
      <c r="EL101" s="32" t="str">
        <f>IF(VLOOKUP(BM101,Fundamentus!A:U,3,FALSE)&lt;15,"Bom",IF(VLOOKUP(BM101,Fundamentus!A:U,3,FALSE)&gt;15,"Ruim","n/a"))</f>
        <v>Ruim</v>
      </c>
      <c r="EM101" s="28" t="str">
        <f>IF(VLOOKUP(BM101,Fundamentus!A:U,4,FALSE)&lt;1,"Baixo",IF(VLOOKUP(BM101,Fundamentus!A:U,4,FALSE)&lt;1.5,"Moderado",IF(VLOOKUP(BM101,Fundamentus!A:U,4,FALSE)&gt;1.5,"Alto","n/a")))</f>
        <v>Alto</v>
      </c>
      <c r="EN101" s="17" t="str">
        <f>IF(VLOOKUP(BM101,Fundamentus!A:U,8,FALSE)&lt;0,"Risco elevado",IF(VLOOKUP(BM101,Fundamentus!A:U,8,FALSE)&lt;1,"Saudável",IF(VLOOKUP(BM101,Fundamentus!A:U,8,FALSE)&lt;3,"Estável",IF(VLOOKUP(BM101,Fundamentus!A:U,8,FALSE)&gt;3,"Alerta","n/a"))))</f>
        <v>Alerta</v>
      </c>
      <c r="EO101" s="28" t="str">
        <f t="shared" si="111"/>
        <v>Ruim</v>
      </c>
      <c r="EP101" s="17" t="str">
        <f>IF(VLOOKUP(BM101,Fundamentus!A:U,12,FALSE)&lt;2,"Subvalorizada",IF(VLOOKUP(BM101,Fundamentus!A:U,12,FALSE)&lt;6,"Muita barata",IF(VLOOKUP(BM101,Fundamentus!A:U,12,FALSE)&lt;6,"Barata",IF(VLOOKUP(BM101,Fundamentus!A:U,12,FALSE)&lt;8,"Atrativa",IF(VLOOKUP(BM101,Fundamentus!A:U,12,FALSE)&gt;8,"Supervalorizada","n/a")))))</f>
        <v>Atrativa</v>
      </c>
      <c r="ER101" s="17" t="str">
        <f>IF(VLOOKUP(BM101,Fundamentus!A:U,17,FALSE)&lt;0.1,"Fraco retorno",IF(VLOOKUP(BM101,Fundamentus!A:U,17,FALSE)&gt;0.1,"Bom retorno","n/a"))</f>
        <v>Bom retorno</v>
      </c>
      <c r="ES101" s="17" t="str">
        <f>IF(VLOOKUP(BM101,Fundamentus!A:U,16,FALSE)&lt;0.1,"Ineficiente",IF(VLOOKUP(BM101,Fundamentus!A:U,16,FALSE)&gt;0.1,"Eficiente","n/a"))</f>
        <v>Eficiente</v>
      </c>
      <c r="ET101" s="33" t="str">
        <f>IF(VLOOKUP(BM101,Fundamentus!A:U,16,FALSE)&lt;0.1,"Oper. Ineficiente",IF(VLOOKUP(BM101,Fundamentus!A:U,16,FALSE)&gt;0.1,"Oper.Eficiente","n/a"))</f>
        <v>Oper.Eficiente</v>
      </c>
      <c r="EU101" s="34">
        <f>VLOOKUP(BM101,Fundamentus!A:U,14,FALSE)</f>
        <v>2.9700000000000001E-2</v>
      </c>
      <c r="EV101" s="17" t="str">
        <f>IF(VLOOKUP(BM101,Fundamentus!A:U,21,FALSE)&lt;0,"Negativo",IF(VLOOKUP(BM101,Fundamentus!A:U,21,FALSE)&lt;0.05,"Fraco",IF(VLOOKUP(BM101,Fundamentus!A:U,21,FALSE)&lt;0.1,"Bom",IF(VLOOKUP(BM101,Fundamentus!A:U,21,FALSE)&gt;0.1,"Muito bom","n/a"))))</f>
        <v>Muito bom</v>
      </c>
      <c r="EX101" s="29" t="str">
        <f>IF(VLOOKUP(BM101,Fundamentus!A:U,15,FALSE)&gt;1,"Bom",IF(VLOOKUP(BM101,Fundamentus!A:U,15,FALSE)&lt;1,"Ruim","n/a"))</f>
        <v>Bom</v>
      </c>
      <c r="EY101" s="17" t="str">
        <f>IF(VLOOKUP(BM101,Fundamentus!A:U,20,FALSE)&lt;0.5,"Baixa",IF(VLOOKUP(BM101,Fundamentus!A:U,20,FALSE)&lt;1,"Moderada",IF(VLOOKUP(BM101,Fundamentus!A:U,20,FALSE)&lt;2,"Alerta",IF(VLOOKUP(BM101,Fundamentus!A:U,20,FALSE)&gt;2,"Alta","n/a"))))</f>
        <v>Baixa</v>
      </c>
      <c r="EZ101" s="10"/>
    </row>
    <row r="102" spans="1:156" s="2" customFormat="1" ht="11.25" x14ac:dyDescent="0.2">
      <c r="A102" s="4">
        <v>19.100000000000001</v>
      </c>
      <c r="B102" s="4">
        <v>18.66</v>
      </c>
      <c r="C102" s="4">
        <v>19.07</v>
      </c>
      <c r="D102" s="4">
        <v>18.7</v>
      </c>
      <c r="E102" s="4">
        <v>18.54</v>
      </c>
      <c r="F102" s="4">
        <v>18.03</v>
      </c>
      <c r="G102" s="4">
        <v>17.61</v>
      </c>
      <c r="H102" s="4">
        <v>17.239999999999998</v>
      </c>
      <c r="I102" s="4">
        <v>17.239999999999998</v>
      </c>
      <c r="J102" s="4">
        <v>17.190000000000001</v>
      </c>
      <c r="K102" s="4">
        <v>17.61</v>
      </c>
      <c r="L102" s="4">
        <v>16.95</v>
      </c>
      <c r="M102" s="4">
        <v>17.239999999999998</v>
      </c>
      <c r="N102" s="4">
        <v>18.02</v>
      </c>
      <c r="O102" s="4">
        <v>18.670000000000002</v>
      </c>
      <c r="P102" s="4">
        <v>17.559999999999999</v>
      </c>
      <c r="Q102" s="4">
        <v>17.48</v>
      </c>
      <c r="R102" s="4">
        <v>18.05</v>
      </c>
      <c r="S102" s="4">
        <v>18.11</v>
      </c>
      <c r="T102" s="4">
        <v>18.559999999999999</v>
      </c>
      <c r="U102" s="4">
        <v>18.579999999999998</v>
      </c>
      <c r="V102" s="4">
        <v>18.559999999999999</v>
      </c>
      <c r="W102" s="4">
        <v>18.32</v>
      </c>
      <c r="X102" s="4">
        <v>17.88</v>
      </c>
      <c r="Y102" s="4">
        <v>17.89</v>
      </c>
      <c r="Z102" s="4">
        <v>17.440000000000001</v>
      </c>
      <c r="AA102" s="4">
        <v>16.739999999999998</v>
      </c>
      <c r="AB102" s="4">
        <v>16.71</v>
      </c>
      <c r="AC102" s="4">
        <v>17.71</v>
      </c>
      <c r="AD102" s="4">
        <v>17.440000000000001</v>
      </c>
      <c r="AE102" s="4">
        <v>16.2</v>
      </c>
      <c r="AF102" s="4">
        <v>16</v>
      </c>
      <c r="AG102" s="4">
        <v>15.07</v>
      </c>
      <c r="AH102" s="4">
        <v>14.15</v>
      </c>
      <c r="AI102" s="4">
        <v>14.18</v>
      </c>
      <c r="AJ102" s="4">
        <v>14.03</v>
      </c>
      <c r="AK102" s="4">
        <v>14.17</v>
      </c>
      <c r="AL102" s="4">
        <v>13.84</v>
      </c>
      <c r="AM102" s="4">
        <v>14.26</v>
      </c>
      <c r="AN102" s="4">
        <v>14.99</v>
      </c>
      <c r="AO102" s="4">
        <v>14.35</v>
      </c>
      <c r="AP102" s="4">
        <v>15.25</v>
      </c>
      <c r="AQ102" s="4">
        <v>15.04</v>
      </c>
      <c r="AR102" s="4">
        <v>13.45</v>
      </c>
      <c r="AS102" s="4">
        <v>13.61</v>
      </c>
      <c r="AT102" s="4">
        <v>14.39</v>
      </c>
      <c r="AU102" s="4">
        <v>14.015000000000001</v>
      </c>
      <c r="AV102" s="4">
        <v>13.81</v>
      </c>
      <c r="AW102" s="4">
        <v>13.1</v>
      </c>
      <c r="AX102" s="4">
        <v>13.19</v>
      </c>
      <c r="AY102" s="12">
        <v>14.22</v>
      </c>
      <c r="AZ102" s="12">
        <v>15</v>
      </c>
      <c r="BA102" s="12">
        <v>15.1</v>
      </c>
      <c r="BB102" s="15">
        <v>15.15</v>
      </c>
      <c r="BC102" s="52">
        <v>15.55</v>
      </c>
      <c r="BD102" s="52">
        <v>14.83</v>
      </c>
      <c r="BE102" s="52">
        <v>15</v>
      </c>
      <c r="BF102" s="52">
        <v>15.08</v>
      </c>
      <c r="BG102" s="67">
        <v>14.85</v>
      </c>
      <c r="BH102" s="52">
        <v>15.05</v>
      </c>
      <c r="BI102" s="52">
        <v>15.17</v>
      </c>
      <c r="BJ102" s="52">
        <v>16.41</v>
      </c>
      <c r="BK102" s="52">
        <v>15.71</v>
      </c>
      <c r="BL102" s="52" cm="1">
        <f t="array" aca="1" ref="BL102" ca="1">_FV(EC102,"Preço")</f>
        <v>15.71</v>
      </c>
      <c r="BM102" s="69" t="s">
        <v>99</v>
      </c>
      <c r="BN102" s="36" cm="1">
        <f t="array" aca="1" ref="BN102" ca="1">_FV(EC102,"Média de volume",TRUE)</f>
        <v>2936210</v>
      </c>
      <c r="BO102" s="36">
        <v>3151900</v>
      </c>
      <c r="BP102" s="36" cm="1">
        <f t="array" aca="1" ref="BP102" ca="1">_FV(EC102,"Volume")</f>
        <v>3151900</v>
      </c>
      <c r="BQ102" s="24" cm="1">
        <f t="array" aca="1" ref="BQ102" ca="1">_FV(EC102,"Beta")</f>
        <v>1.2830999999999999</v>
      </c>
      <c r="BR102" s="71" cm="1">
        <f t="array" aca="1" ref="BR102" ca="1">_FV(EC102,"Variação (%)",TRUE)</f>
        <v>-2.2402000000000002E-2</v>
      </c>
      <c r="BT102" s="17" cm="1">
        <f t="array" aca="1" ref="BT102" ca="1">_FV(EC102,"Baixo")</f>
        <v>15.57</v>
      </c>
      <c r="BU102" s="17" cm="1">
        <f t="array" aca="1" ref="BU102" ca="1">_FV(EC102,"Alto")</f>
        <v>16.100000000000001</v>
      </c>
      <c r="BV102" s="24"/>
      <c r="BW102" s="63">
        <f ca="1">SQRT(22.5*(BL102/VLOOKUP(BM102,Fundamentus!A:U,3,FALSE))*(BL102/VLOOKUP(BM102,Fundamentus!A:U,4,FALSE)))</f>
        <v>11.585204093328775</v>
      </c>
      <c r="BY102" s="62">
        <f t="shared" ca="1" si="112"/>
        <v>0</v>
      </c>
      <c r="BZ102" s="8"/>
      <c r="CA102" s="61">
        <f t="shared" si="113"/>
        <v>13.1</v>
      </c>
      <c r="CB102" s="61">
        <f t="shared" si="114"/>
        <v>19.100000000000001</v>
      </c>
      <c r="CC102" s="61">
        <f t="shared" si="115"/>
        <v>16.208174603174605</v>
      </c>
      <c r="CD102" s="14"/>
      <c r="CE102" s="35">
        <f t="shared" si="98"/>
        <v>14.683398370873173</v>
      </c>
      <c r="CF102" s="15">
        <f t="shared" si="116"/>
        <v>15.74599999999964</v>
      </c>
      <c r="CG102" s="35">
        <f t="shared" si="99"/>
        <v>16.808601629126109</v>
      </c>
      <c r="CI102" s="14"/>
      <c r="CJ102" s="17">
        <f t="shared" si="100"/>
        <v>7.3066666666666631</v>
      </c>
      <c r="CK102" s="17">
        <f t="shared" si="101"/>
        <v>10.203333333333331</v>
      </c>
      <c r="CL102" s="17">
        <f t="shared" si="102"/>
        <v>13.306666666666665</v>
      </c>
      <c r="CM102" s="38">
        <f t="shared" si="117"/>
        <v>16.203333333333333</v>
      </c>
      <c r="CN102" s="17">
        <f t="shared" si="103"/>
        <v>19.306666666666665</v>
      </c>
      <c r="CO102" s="17">
        <f t="shared" si="104"/>
        <v>22.203333333333333</v>
      </c>
      <c r="CP102" s="17">
        <f t="shared" si="105"/>
        <v>25.306666666666668</v>
      </c>
      <c r="CQ102" s="2" cm="1">
        <f t="array" aca="1" ref="CQ102" ca="1">MAX(_xlfn._xlws.FILTER(CJ102:CP102,CJ102:CP102&lt;BL102))</f>
        <v>13.306666666666665</v>
      </c>
      <c r="CR102" s="2" cm="1">
        <f t="array" aca="1" ref="CR102" ca="1">MIN(_xlfn._xlws.FILTER($CJ102:$CP102,$CJ102:$CP102&gt;BL102))</f>
        <v>16.203333333333333</v>
      </c>
      <c r="CS102" s="16">
        <f t="shared" ca="1" si="119"/>
        <v>0.2176853707414832</v>
      </c>
      <c r="CT102" s="20">
        <f t="shared" ca="1" si="120"/>
        <v>-0.1088426853707416</v>
      </c>
      <c r="CU102" s="20">
        <f t="shared" ca="1" si="121"/>
        <v>-7.256179024716107E-2</v>
      </c>
      <c r="CV102" s="20">
        <f t="shared" ca="1" si="122"/>
        <v>-4.3537074148296641E-2</v>
      </c>
      <c r="CW102" s="20">
        <f t="shared" ca="1" si="123"/>
        <v>-2.4187263415720354E-2</v>
      </c>
      <c r="CX102" s="20">
        <f t="shared" ca="1" si="124"/>
        <v>-1.2805021808322541E-2</v>
      </c>
      <c r="CY102" s="20">
        <f t="shared" ca="1" si="125"/>
        <v>-6.5965263861055513E-3</v>
      </c>
      <c r="CZ102" s="20">
        <f t="shared" ca="1" si="126"/>
        <v>-3.3490057037151261E-3</v>
      </c>
      <c r="DA102" s="21">
        <f t="shared" ca="1" si="127"/>
        <v>3.3490057037151261E-3</v>
      </c>
      <c r="DB102" s="21">
        <f t="shared" ca="1" si="128"/>
        <v>6.5965263861055513E-3</v>
      </c>
      <c r="DC102" s="21">
        <f t="shared" ca="1" si="129"/>
        <v>1.2805021808322541E-2</v>
      </c>
      <c r="DD102" s="21">
        <f t="shared" ca="1" si="130"/>
        <v>2.4187263415720354E-2</v>
      </c>
      <c r="DE102" s="21">
        <f t="shared" ca="1" si="131"/>
        <v>4.3537074148296641E-2</v>
      </c>
      <c r="DF102" s="21">
        <f t="shared" ca="1" si="132"/>
        <v>7.256179024716107E-2</v>
      </c>
      <c r="DG102" s="21">
        <f t="shared" ca="1" si="133"/>
        <v>0.1088426853707416</v>
      </c>
      <c r="DI102" s="16" cm="1">
        <f t="array" aca="1" ref="DI102" ca="1">MAX(_xlfn._xlws.FILTER(CT102:DG102,CT102:DG102&lt;BR102))</f>
        <v>-2.4187263415720354E-2</v>
      </c>
      <c r="DJ102" s="16" cm="1">
        <f t="array" aca="1" ref="DJ102" ca="1">MIN(_xlfn._xlws.FILTER(CT102:DG102,CT102:DG102&gt;BR102))</f>
        <v>-1.2805021808322541E-2</v>
      </c>
      <c r="DK102" s="2" cm="1">
        <f t="array" aca="1" ref="DK102" ca="1">_FV(EC102,"Fechamento anterior",TRUE)</f>
        <v>16.07</v>
      </c>
      <c r="DL102" s="28">
        <f t="shared" ca="1" si="106"/>
        <v>0.15684714744111092</v>
      </c>
      <c r="DM102" s="15">
        <f t="shared" ca="1" si="134"/>
        <v>15.681310676909375</v>
      </c>
      <c r="DN102" s="15">
        <f t="shared" ca="1" si="135"/>
        <v>15.864223299540257</v>
      </c>
      <c r="DO102" s="9"/>
      <c r="DP102" s="9"/>
      <c r="DQ102" s="9"/>
      <c r="DR102" s="89">
        <v>5.3760053760053767E-3</v>
      </c>
      <c r="DS102" s="89">
        <v>8.5702341137123723E-3</v>
      </c>
      <c r="DT102" s="89">
        <v>1.0014346546408455E-2</v>
      </c>
      <c r="DU102" s="89">
        <v>1.1382241607397814E-2</v>
      </c>
      <c r="DV102" s="89">
        <f t="shared" ca="1" si="107"/>
        <v>1.1382241607397814E-2</v>
      </c>
      <c r="DW102" s="72">
        <f t="shared" ca="1" si="108"/>
        <v>-3.3879112371805319E-2</v>
      </c>
      <c r="DX102" s="37"/>
      <c r="DY102" s="35">
        <f t="shared" si="118"/>
        <v>0.53130081456323375</v>
      </c>
      <c r="DZ102" s="56"/>
      <c r="EA102" s="56"/>
      <c r="EC102" s="2" t="e" vm="102">
        <v>#VALUE!</v>
      </c>
      <c r="EE102" s="10" cm="1">
        <f t="array" aca="1" ref="EE102" ca="1">_FV(EC102,"Ações em circulação",TRUE)</f>
        <v>677280700</v>
      </c>
      <c r="EF102" s="18">
        <f>VLOOKUP(BM102,Fundamentus!A:U,5,FALSE)</f>
        <v>0.63600000000000001</v>
      </c>
      <c r="EG102" s="2">
        <f t="shared" ca="1" si="109"/>
        <v>16729685215.408804</v>
      </c>
      <c r="EH102" s="17">
        <v>714357558.69795597</v>
      </c>
      <c r="EI102" s="17">
        <f t="shared" ca="1" si="110"/>
        <v>714357558.69795597</v>
      </c>
      <c r="EK102" s="16">
        <f t="shared" ca="1" si="97"/>
        <v>0</v>
      </c>
      <c r="EL102" s="32" t="str">
        <f>IF(VLOOKUP(BM102,Fundamentus!A:U,3,FALSE)&lt;15,"Bom",IF(VLOOKUP(BM102,Fundamentus!A:U,3,FALSE)&gt;15,"Ruim","n/a"))</f>
        <v>Ruim</v>
      </c>
      <c r="EM102" s="28" t="str">
        <f>IF(VLOOKUP(BM102,Fundamentus!A:U,4,FALSE)&lt;1,"Baixo",IF(VLOOKUP(BM102,Fundamentus!A:U,4,FALSE)&lt;1.5,"Moderado",IF(VLOOKUP(BM102,Fundamentus!A:U,4,FALSE)&gt;1.5,"Alto","n/a")))</f>
        <v>Alto</v>
      </c>
      <c r="EN102" s="17" t="str">
        <f>IF(VLOOKUP(BM102,Fundamentus!A:U,8,FALSE)&lt;0,"Risco elevado",IF(VLOOKUP(BM102,Fundamentus!A:U,8,FALSE)&lt;1,"Saudável",IF(VLOOKUP(BM102,Fundamentus!A:U,8,FALSE)&lt;3,"Estável",IF(VLOOKUP(BM102,Fundamentus!A:U,8,FALSE)&gt;3,"Alerta","n/a"))))</f>
        <v>Estável</v>
      </c>
      <c r="EO102" s="28" t="str">
        <f t="shared" si="111"/>
        <v>Ruim</v>
      </c>
      <c r="EP102" s="17" t="str">
        <f>IF(VLOOKUP(BM102,Fundamentus!A:U,12,FALSE)&lt;2,"Subvalorizada",IF(VLOOKUP(BM102,Fundamentus!A:U,12,FALSE)&lt;6,"Muita barata",IF(VLOOKUP(BM102,Fundamentus!A:U,12,FALSE)&lt;6,"Barata",IF(VLOOKUP(BM102,Fundamentus!A:U,12,FALSE)&lt;8,"Atrativa",IF(VLOOKUP(BM102,Fundamentus!A:U,12,FALSE)&gt;8,"Supervalorizada","n/a")))))</f>
        <v>Atrativa</v>
      </c>
      <c r="ER102" s="17" t="str">
        <f>IF(VLOOKUP(BM102,Fundamentus!A:U,17,FALSE)&lt;0.1,"Fraco retorno",IF(VLOOKUP(BM102,Fundamentus!A:U,17,FALSE)&gt;0.1,"Bom retorno","n/a"))</f>
        <v>Bom retorno</v>
      </c>
      <c r="ES102" s="17" t="str">
        <f>IF(VLOOKUP(BM102,Fundamentus!A:U,16,FALSE)&lt;0.1,"Ineficiente",IF(VLOOKUP(BM102,Fundamentus!A:U,16,FALSE)&gt;0.1,"Eficiente","n/a"))</f>
        <v>Eficiente</v>
      </c>
      <c r="ET102" s="33" t="str">
        <f>IF(VLOOKUP(BM102,Fundamentus!A:U,16,FALSE)&lt;0.1,"Oper. Ineficiente",IF(VLOOKUP(BM102,Fundamentus!A:U,16,FALSE)&gt;0.1,"Oper.Eficiente","n/a"))</f>
        <v>Oper.Eficiente</v>
      </c>
      <c r="EU102" s="34">
        <f>VLOOKUP(BM102,Fundamentus!A:U,14,FALSE)</f>
        <v>4.2700000000000002E-2</v>
      </c>
      <c r="EV102" s="17" t="str">
        <f>IF(VLOOKUP(BM102,Fundamentus!A:U,21,FALSE)&lt;0,"Negativo",IF(VLOOKUP(BM102,Fundamentus!A:U,21,FALSE)&lt;0.05,"Fraco",IF(VLOOKUP(BM102,Fundamentus!A:U,21,FALSE)&lt;0.1,"Bom",IF(VLOOKUP(BM102,Fundamentus!A:U,21,FALSE)&gt;0.1,"Muito bom","n/a"))))</f>
        <v>Muito bom</v>
      </c>
      <c r="EX102" s="29" t="str">
        <f>IF(VLOOKUP(BM102,Fundamentus!A:U,15,FALSE)&gt;1,"Bom",IF(VLOOKUP(BM102,Fundamentus!A:U,15,FALSE)&lt;1,"Ruim","n/a"))</f>
        <v>Bom</v>
      </c>
      <c r="EY102" s="17" t="str">
        <f>IF(VLOOKUP(BM102,Fundamentus!A:U,20,FALSE)&lt;0.5,"Baixa",IF(VLOOKUP(BM102,Fundamentus!A:U,20,FALSE)&lt;1,"Moderada",IF(VLOOKUP(BM102,Fundamentus!A:U,20,FALSE)&lt;2,"Alerta",IF(VLOOKUP(BM102,Fundamentus!A:U,20,FALSE)&gt;2,"Alta","n/a"))))</f>
        <v>Alerta</v>
      </c>
      <c r="EZ102" s="10"/>
    </row>
    <row r="103" spans="1:156" s="2" customFormat="1" ht="11.25" x14ac:dyDescent="0.2">
      <c r="A103" s="4">
        <v>4.45</v>
      </c>
      <c r="B103" s="4">
        <v>4.2</v>
      </c>
      <c r="C103" s="4">
        <v>4.17</v>
      </c>
      <c r="D103" s="4">
        <v>4.0199999999999996</v>
      </c>
      <c r="E103" s="4">
        <v>4.01</v>
      </c>
      <c r="F103" s="4">
        <v>3.69</v>
      </c>
      <c r="G103" s="4">
        <v>3.62</v>
      </c>
      <c r="H103" s="4">
        <v>3.77</v>
      </c>
      <c r="I103" s="4">
        <v>3.72</v>
      </c>
      <c r="J103" s="4">
        <v>4</v>
      </c>
      <c r="K103" s="4">
        <v>4</v>
      </c>
      <c r="L103" s="4">
        <v>3.77</v>
      </c>
      <c r="M103" s="4">
        <v>3.6</v>
      </c>
      <c r="N103" s="4">
        <v>3.49</v>
      </c>
      <c r="O103" s="4">
        <v>3.8</v>
      </c>
      <c r="P103" s="4">
        <v>3.59</v>
      </c>
      <c r="Q103" s="4">
        <v>3.79</v>
      </c>
      <c r="R103" s="4">
        <v>3.49</v>
      </c>
      <c r="S103" s="4">
        <v>3.54</v>
      </c>
      <c r="T103" s="4">
        <v>3.52</v>
      </c>
      <c r="U103" s="4">
        <v>3.42</v>
      </c>
      <c r="V103" s="4">
        <v>3.44</v>
      </c>
      <c r="W103" s="4">
        <v>3.41</v>
      </c>
      <c r="X103" s="4">
        <v>3.26</v>
      </c>
      <c r="Y103" s="4">
        <v>3.3</v>
      </c>
      <c r="Z103" s="4">
        <v>3.21</v>
      </c>
      <c r="AA103" s="4">
        <v>3.07</v>
      </c>
      <c r="AB103" s="4">
        <v>3.25</v>
      </c>
      <c r="AC103" s="4">
        <v>3.2</v>
      </c>
      <c r="AD103" s="4">
        <v>3.25</v>
      </c>
      <c r="AE103" s="4">
        <v>3</v>
      </c>
      <c r="AF103" s="4">
        <v>2.78</v>
      </c>
      <c r="AG103" s="4">
        <v>2.84</v>
      </c>
      <c r="AH103" s="4">
        <v>2.83</v>
      </c>
      <c r="AI103" s="4">
        <v>2.78</v>
      </c>
      <c r="AJ103" s="4">
        <v>2.72</v>
      </c>
      <c r="AK103" s="4">
        <v>2.71</v>
      </c>
      <c r="AL103" s="4">
        <v>2.95</v>
      </c>
      <c r="AM103" s="4">
        <v>2.85</v>
      </c>
      <c r="AN103" s="4">
        <v>2.65</v>
      </c>
      <c r="AO103" s="4">
        <v>2.4500000000000002</v>
      </c>
      <c r="AP103" s="4">
        <v>2.4900000000000002</v>
      </c>
      <c r="AQ103" s="4">
        <v>2.1800000000000002</v>
      </c>
      <c r="AR103" s="4">
        <v>1.98</v>
      </c>
      <c r="AS103" s="4">
        <v>2.3199999999999998</v>
      </c>
      <c r="AT103" s="4">
        <v>2.23</v>
      </c>
      <c r="AU103" s="4">
        <v>2.2749999999999999</v>
      </c>
      <c r="AV103" s="4">
        <v>2.2799999999999998</v>
      </c>
      <c r="AW103" s="4">
        <v>2.21</v>
      </c>
      <c r="AX103" s="4">
        <v>2.2599999999999998</v>
      </c>
      <c r="AY103" s="12">
        <v>2.68</v>
      </c>
      <c r="AZ103" s="12">
        <v>2.8</v>
      </c>
      <c r="BA103" s="12">
        <v>3.03</v>
      </c>
      <c r="BB103" s="15">
        <v>2.95</v>
      </c>
      <c r="BC103" s="52">
        <v>2.85</v>
      </c>
      <c r="BD103" s="52">
        <v>2.95</v>
      </c>
      <c r="BE103" s="52">
        <v>3.18</v>
      </c>
      <c r="BF103" s="52">
        <v>3.3</v>
      </c>
      <c r="BG103" s="67">
        <v>3.7</v>
      </c>
      <c r="BH103" s="52">
        <v>3.7</v>
      </c>
      <c r="BI103" s="52">
        <v>3.61</v>
      </c>
      <c r="BJ103" s="52">
        <v>3.53</v>
      </c>
      <c r="BK103" s="52">
        <v>3.47</v>
      </c>
      <c r="BL103" s="52" cm="1">
        <f t="array" aca="1" ref="BL103" ca="1">_FV(EC103,"Preço")</f>
        <v>3.47</v>
      </c>
      <c r="BM103" s="69" t="s">
        <v>100</v>
      </c>
      <c r="BN103" s="36" cm="1">
        <f t="array" aca="1" ref="BN103" ca="1">_FV(EC103,"Média de volume",TRUE)</f>
        <v>3119490</v>
      </c>
      <c r="BO103" s="36">
        <v>1769100</v>
      </c>
      <c r="BP103" s="36" cm="1">
        <f t="array" aca="1" ref="BP103" ca="1">_FV(EC103,"Volume")</f>
        <v>1769100</v>
      </c>
      <c r="BQ103" s="24" cm="1">
        <f t="array" aca="1" ref="BQ103" ca="1">_FV(EC103,"Beta")</f>
        <v>1.2403</v>
      </c>
      <c r="BR103" s="71" cm="1">
        <f t="array" aca="1" ref="BR103" ca="1">_FV(EC103,"Variação (%)",TRUE)</f>
        <v>-2.2534999999999999E-2</v>
      </c>
      <c r="BT103" s="17" cm="1">
        <f t="array" aca="1" ref="BT103" ca="1">_FV(EC103,"Baixo")</f>
        <v>3.41</v>
      </c>
      <c r="BU103" s="17" cm="1">
        <f t="array" aca="1" ref="BU103" ca="1">_FV(EC103,"Alto")</f>
        <v>3.53</v>
      </c>
      <c r="BV103" s="24"/>
      <c r="BW103" s="63" t="e">
        <f ca="1">SQRT(22.5*(BL103/VLOOKUP(BM103,Fundamentus!A:U,3,FALSE))*(BL103/VLOOKUP(BM103,Fundamentus!A:U,4,FALSE)))</f>
        <v>#NUM!</v>
      </c>
      <c r="BY103" s="62">
        <f t="shared" ca="1" si="112"/>
        <v>0</v>
      </c>
      <c r="BZ103" s="8"/>
      <c r="CA103" s="61">
        <f t="shared" si="113"/>
        <v>1.98</v>
      </c>
      <c r="CB103" s="61">
        <f t="shared" si="114"/>
        <v>4.45</v>
      </c>
      <c r="CC103" s="61">
        <f t="shared" si="115"/>
        <v>3.1997619047619046</v>
      </c>
      <c r="CD103" s="14"/>
      <c r="CE103" s="35">
        <f t="shared" si="98"/>
        <v>3.2586629013332411</v>
      </c>
      <c r="CF103" s="15">
        <f t="shared" si="116"/>
        <v>3.5389999999999873</v>
      </c>
      <c r="CG103" s="35">
        <f t="shared" si="99"/>
        <v>3.8193370986667334</v>
      </c>
      <c r="CI103" s="14"/>
      <c r="CJ103" s="17">
        <f t="shared" si="100"/>
        <v>-0.28000000000000069</v>
      </c>
      <c r="CK103" s="17">
        <f t="shared" si="101"/>
        <v>0.84999999999999964</v>
      </c>
      <c r="CL103" s="17">
        <f t="shared" si="102"/>
        <v>2.1899999999999995</v>
      </c>
      <c r="CM103" s="38">
        <f t="shared" si="117"/>
        <v>3.32</v>
      </c>
      <c r="CN103" s="17">
        <f t="shared" si="103"/>
        <v>4.66</v>
      </c>
      <c r="CO103" s="17">
        <f t="shared" si="104"/>
        <v>5.79</v>
      </c>
      <c r="CP103" s="17">
        <f t="shared" si="105"/>
        <v>7.13</v>
      </c>
      <c r="CQ103" s="2" cm="1">
        <f t="array" aca="1" ref="CQ103" ca="1">MAX(_xlfn._xlws.FILTER(CJ103:CP103,CJ103:CP103&lt;BL103))</f>
        <v>3.32</v>
      </c>
      <c r="CR103" s="2" cm="1">
        <f t="array" aca="1" ref="CR103" ca="1">MIN(_xlfn._xlws.FILTER($CJ103:$CP103,$CJ103:$CP103&gt;BL103))</f>
        <v>4.66</v>
      </c>
      <c r="CS103" s="16">
        <f t="shared" ca="1" si="119"/>
        <v>0.40361445783132543</v>
      </c>
      <c r="CT103" s="20">
        <f t="shared" ca="1" si="120"/>
        <v>-0.20180722891566272</v>
      </c>
      <c r="CU103" s="20">
        <f t="shared" ca="1" si="121"/>
        <v>-0.1345381526104418</v>
      </c>
      <c r="CV103" s="20">
        <f t="shared" ca="1" si="122"/>
        <v>-8.0722891566265081E-2</v>
      </c>
      <c r="CW103" s="20">
        <f t="shared" ca="1" si="123"/>
        <v>-4.4846050870147272E-2</v>
      </c>
      <c r="CX103" s="20">
        <f t="shared" ca="1" si="124"/>
        <v>-2.3742026931254438E-2</v>
      </c>
      <c r="CY103" s="20">
        <f t="shared" ca="1" si="125"/>
        <v>-1.22307411464038E-2</v>
      </c>
      <c r="CZ103" s="20">
        <f t="shared" ca="1" si="126"/>
        <v>-6.2094531974050066E-3</v>
      </c>
      <c r="DA103" s="21">
        <f t="shared" ca="1" si="127"/>
        <v>6.2094531974050066E-3</v>
      </c>
      <c r="DB103" s="21">
        <f t="shared" ca="1" si="128"/>
        <v>1.22307411464038E-2</v>
      </c>
      <c r="DC103" s="21">
        <f t="shared" ca="1" si="129"/>
        <v>2.3742026931254438E-2</v>
      </c>
      <c r="DD103" s="21">
        <f t="shared" ca="1" si="130"/>
        <v>4.4846050870147272E-2</v>
      </c>
      <c r="DE103" s="21">
        <f t="shared" ca="1" si="131"/>
        <v>8.0722891566265081E-2</v>
      </c>
      <c r="DF103" s="21">
        <f t="shared" ca="1" si="132"/>
        <v>0.1345381526104418</v>
      </c>
      <c r="DG103" s="21">
        <f t="shared" ca="1" si="133"/>
        <v>0.20180722891566272</v>
      </c>
      <c r="DI103" s="16" cm="1">
        <f t="array" aca="1" ref="DI103" ca="1">MAX(_xlfn._xlws.FILTER(CT103:DG103,CT103:DG103&lt;BR103))</f>
        <v>-2.3742026931254438E-2</v>
      </c>
      <c r="DJ103" s="16" cm="1">
        <f t="array" aca="1" ref="DJ103" ca="1">MIN(_xlfn._xlws.FILTER(CT103:DG103,CT103:DG103&gt;BR103))</f>
        <v>-1.22307411464038E-2</v>
      </c>
      <c r="DK103" s="2" cm="1">
        <f t="array" aca="1" ref="DK103" ca="1">_FV(EC103,"Fechamento anterior",TRUE)</f>
        <v>3.55</v>
      </c>
      <c r="DL103" s="28">
        <f t="shared" ca="1" si="106"/>
        <v>0.10483760773598209</v>
      </c>
      <c r="DM103" s="15">
        <f t="shared" ca="1" si="134"/>
        <v>3.4657158043940464</v>
      </c>
      <c r="DN103" s="15">
        <f t="shared" ca="1" si="135"/>
        <v>3.5065808689302664</v>
      </c>
      <c r="DO103" s="9"/>
      <c r="DP103" s="9"/>
      <c r="DQ103" s="9"/>
      <c r="DR103" s="89">
        <v>8.3764129368102298E-3</v>
      </c>
      <c r="DS103" s="89">
        <v>2.1627341295188698E-2</v>
      </c>
      <c r="DT103" s="89">
        <v>1.2418906394810013E-2</v>
      </c>
      <c r="DU103" s="89">
        <v>1.1511285784850637E-2</v>
      </c>
      <c r="DV103" s="89">
        <f t="shared" ca="1" si="107"/>
        <v>1.1511285784850637E-2</v>
      </c>
      <c r="DW103" s="72">
        <f t="shared" ca="1" si="108"/>
        <v>-0.24613224695605337</v>
      </c>
      <c r="DX103" s="37"/>
      <c r="DY103" s="35">
        <f t="shared" si="118"/>
        <v>0.14016854933337311</v>
      </c>
      <c r="DZ103" s="56"/>
      <c r="EA103" s="56"/>
      <c r="EC103" s="2" t="e" vm="103">
        <v>#VALUE!</v>
      </c>
      <c r="EE103" s="10" cm="1">
        <f t="array" aca="1" ref="EE103" ca="1">_FV(EC103,"Ações em circulação",TRUE)</f>
        <v>1360383000</v>
      </c>
      <c r="EF103" s="18">
        <f>VLOOKUP(BM103,Fundamentus!A:U,5,FALSE)</f>
        <v>3.512</v>
      </c>
      <c r="EG103" s="2">
        <f t="shared" ca="1" si="109"/>
        <v>1344114182.8018224</v>
      </c>
      <c r="EH103" s="17">
        <v>-494902842.10763103</v>
      </c>
      <c r="EI103" s="17">
        <f t="shared" ca="1" si="110"/>
        <v>-494902842.10763103</v>
      </c>
      <c r="EK103" s="16">
        <f t="shared" ca="1" si="97"/>
        <v>0</v>
      </c>
      <c r="EL103" s="32" t="str">
        <f>IF(VLOOKUP(BM103,Fundamentus!A:U,3,FALSE)&lt;15,"Bom",IF(VLOOKUP(BM103,Fundamentus!A:U,3,FALSE)&gt;15,"Ruim","n/a"))</f>
        <v>Bom</v>
      </c>
      <c r="EM103" s="28" t="str">
        <f>IF(VLOOKUP(BM103,Fundamentus!A:U,4,FALSE)&lt;1,"Baixo",IF(VLOOKUP(BM103,Fundamentus!A:U,4,FALSE)&lt;1.5,"Moderado",IF(VLOOKUP(BM103,Fundamentus!A:U,4,FALSE)&gt;1.5,"Alto","n/a")))</f>
        <v>Alto</v>
      </c>
      <c r="EN103" s="17" t="str">
        <f>IF(VLOOKUP(BM103,Fundamentus!A:U,8,FALSE)&lt;0,"Risco elevado",IF(VLOOKUP(BM103,Fundamentus!A:U,8,FALSE)&lt;1,"Saudável",IF(VLOOKUP(BM103,Fundamentus!A:U,8,FALSE)&lt;3,"Estável",IF(VLOOKUP(BM103,Fundamentus!A:U,8,FALSE)&gt;3,"Alerta","n/a"))))</f>
        <v>Alerta</v>
      </c>
      <c r="EO103" s="28" t="str">
        <f t="shared" si="111"/>
        <v>Bom</v>
      </c>
      <c r="EP103" s="17" t="str">
        <f>IF(VLOOKUP(BM103,Fundamentus!A:U,12,FALSE)&lt;2,"Subvalorizada",IF(VLOOKUP(BM103,Fundamentus!A:U,12,FALSE)&lt;6,"Muita barata",IF(VLOOKUP(BM103,Fundamentus!A:U,12,FALSE)&lt;6,"Barata",IF(VLOOKUP(BM103,Fundamentus!A:U,12,FALSE)&lt;8,"Atrativa",IF(VLOOKUP(BM103,Fundamentus!A:U,12,FALSE)&gt;8,"Supervalorizada","n/a")))))</f>
        <v>Supervalorizada</v>
      </c>
      <c r="ER103" s="17" t="str">
        <f>IF(VLOOKUP(BM103,Fundamentus!A:U,17,FALSE)&lt;0.1,"Fraco retorno",IF(VLOOKUP(BM103,Fundamentus!A:U,17,FALSE)&gt;0.1,"Bom retorno","n/a"))</f>
        <v>Fraco retorno</v>
      </c>
      <c r="ES103" s="17" t="str">
        <f>IF(VLOOKUP(BM103,Fundamentus!A:U,16,FALSE)&lt;0.1,"Ineficiente",IF(VLOOKUP(BM103,Fundamentus!A:U,16,FALSE)&gt;0.1,"Eficiente","n/a"))</f>
        <v>Ineficiente</v>
      </c>
      <c r="ET103" s="33" t="str">
        <f>IF(VLOOKUP(BM103,Fundamentus!A:U,16,FALSE)&lt;0.1,"Oper. Ineficiente",IF(VLOOKUP(BM103,Fundamentus!A:U,16,FALSE)&gt;0.1,"Oper.Eficiente","n/a"))</f>
        <v>Oper. Ineficiente</v>
      </c>
      <c r="EU103" s="34">
        <f>VLOOKUP(BM103,Fundamentus!A:U,14,FALSE)</f>
        <v>-0.36820000000000003</v>
      </c>
      <c r="EV103" s="17" t="str">
        <f>IF(VLOOKUP(BM103,Fundamentus!A:U,21,FALSE)&lt;0,"Negativo",IF(VLOOKUP(BM103,Fundamentus!A:U,21,FALSE)&lt;0.05,"Fraco",IF(VLOOKUP(BM103,Fundamentus!A:U,21,FALSE)&lt;0.1,"Bom",IF(VLOOKUP(BM103,Fundamentus!A:U,21,FALSE)&gt;0.1,"Muito bom","n/a"))))</f>
        <v>Fraco</v>
      </c>
      <c r="EX103" s="29" t="str">
        <f>IF(VLOOKUP(BM103,Fundamentus!A:U,15,FALSE)&gt;1,"Bom",IF(VLOOKUP(BM103,Fundamentus!A:U,15,FALSE)&lt;1,"Ruim","n/a"))</f>
        <v>Bom</v>
      </c>
      <c r="EY103" s="17" t="str">
        <f>IF(VLOOKUP(BM103,Fundamentus!A:U,20,FALSE)&lt;0.5,"Baixa",IF(VLOOKUP(BM103,Fundamentus!A:U,20,FALSE)&lt;1,"Moderada",IF(VLOOKUP(BM103,Fundamentus!A:U,20,FALSE)&lt;2,"Alerta",IF(VLOOKUP(BM103,Fundamentus!A:U,20,FALSE)&gt;2,"Alta","n/a"))))</f>
        <v>Alta</v>
      </c>
      <c r="EZ103" s="10"/>
    </row>
    <row r="104" spans="1:156" s="2" customFormat="1" ht="11.25" x14ac:dyDescent="0.2">
      <c r="A104" s="4">
        <v>12.75</v>
      </c>
      <c r="B104" s="4">
        <v>12.73</v>
      </c>
      <c r="C104" s="4">
        <v>12.69</v>
      </c>
      <c r="D104" s="4">
        <v>12.16</v>
      </c>
      <c r="E104" s="4">
        <v>12.02</v>
      </c>
      <c r="F104" s="4">
        <v>11.91</v>
      </c>
      <c r="G104" s="4">
        <v>11.59</v>
      </c>
      <c r="H104" s="4">
        <v>12.03</v>
      </c>
      <c r="I104" s="4">
        <v>11.58</v>
      </c>
      <c r="J104" s="4">
        <v>12.14</v>
      </c>
      <c r="K104" s="4">
        <v>12.99</v>
      </c>
      <c r="L104" s="4">
        <v>12.41</v>
      </c>
      <c r="M104" s="4">
        <v>12.48</v>
      </c>
      <c r="N104" s="4">
        <v>12.7</v>
      </c>
      <c r="O104" s="4">
        <v>13.23</v>
      </c>
      <c r="P104" s="4">
        <v>13.4</v>
      </c>
      <c r="Q104" s="4">
        <v>13.6</v>
      </c>
      <c r="R104" s="4">
        <v>13.25</v>
      </c>
      <c r="S104" s="4">
        <v>13.49</v>
      </c>
      <c r="T104" s="4">
        <v>13.13</v>
      </c>
      <c r="U104" s="4">
        <v>12.48</v>
      </c>
      <c r="V104" s="4">
        <v>12.39</v>
      </c>
      <c r="W104" s="4">
        <v>12.2</v>
      </c>
      <c r="X104" s="4">
        <v>12.11</v>
      </c>
      <c r="Y104" s="4">
        <v>12.07</v>
      </c>
      <c r="Z104" s="4">
        <v>12.06</v>
      </c>
      <c r="AA104" s="4">
        <v>11.85</v>
      </c>
      <c r="AB104" s="4">
        <v>11.69</v>
      </c>
      <c r="AC104" s="4">
        <v>11.91</v>
      </c>
      <c r="AD104" s="4">
        <v>12.05</v>
      </c>
      <c r="AE104" s="4">
        <v>11.03</v>
      </c>
      <c r="AF104" s="4">
        <v>10.7</v>
      </c>
      <c r="AG104" s="4">
        <v>10.63</v>
      </c>
      <c r="AH104" s="4">
        <v>10.16</v>
      </c>
      <c r="AI104" s="4">
        <v>10.23</v>
      </c>
      <c r="AJ104" s="4">
        <v>10.1</v>
      </c>
      <c r="AK104" s="4">
        <v>10.3</v>
      </c>
      <c r="AL104" s="4">
        <v>10.64</v>
      </c>
      <c r="AM104" s="4">
        <v>10.8</v>
      </c>
      <c r="AN104" s="4">
        <v>11.23</v>
      </c>
      <c r="AO104" s="4">
        <v>10.92</v>
      </c>
      <c r="AP104" s="4">
        <v>11.96</v>
      </c>
      <c r="AQ104" s="4">
        <v>11.79</v>
      </c>
      <c r="AR104" s="4">
        <v>11.7</v>
      </c>
      <c r="AS104" s="4">
        <v>11.81</v>
      </c>
      <c r="AT104" s="4">
        <v>11.69</v>
      </c>
      <c r="AU104" s="4">
        <v>11.85</v>
      </c>
      <c r="AV104" s="4">
        <v>11.9</v>
      </c>
      <c r="AW104" s="4">
        <v>11.73</v>
      </c>
      <c r="AX104" s="4">
        <v>11.7</v>
      </c>
      <c r="AY104" s="12">
        <v>12.52</v>
      </c>
      <c r="AZ104" s="12">
        <v>13.2</v>
      </c>
      <c r="BA104" s="12">
        <v>13.45</v>
      </c>
      <c r="BB104" s="15">
        <v>13.4</v>
      </c>
      <c r="BC104" s="52">
        <v>13.24</v>
      </c>
      <c r="BD104" s="52">
        <v>13.47</v>
      </c>
      <c r="BE104" s="52">
        <v>13.48</v>
      </c>
      <c r="BF104" s="52">
        <v>13.35</v>
      </c>
      <c r="BG104" s="67">
        <v>13.37</v>
      </c>
      <c r="BH104" s="52">
        <v>13.51</v>
      </c>
      <c r="BI104" s="52">
        <v>13.51</v>
      </c>
      <c r="BJ104" s="52">
        <v>13.79</v>
      </c>
      <c r="BK104" s="52">
        <v>12.94</v>
      </c>
      <c r="BL104" s="52" cm="1">
        <f t="array" aca="1" ref="BL104" ca="1">_FV(EC104,"Preço")</f>
        <v>12.94</v>
      </c>
      <c r="BM104" s="69" t="s">
        <v>101</v>
      </c>
      <c r="BN104" s="36" cm="1">
        <f t="array" aca="1" ref="BN104" ca="1">_FV(EC104,"Média de volume",TRUE)</f>
        <v>6099220</v>
      </c>
      <c r="BO104" s="36">
        <v>6987400</v>
      </c>
      <c r="BP104" s="36" cm="1">
        <f t="array" aca="1" ref="BP104" ca="1">_FV(EC104,"Volume")</f>
        <v>6987400</v>
      </c>
      <c r="BQ104" s="24" cm="1">
        <f t="array" aca="1" ref="BQ104" ca="1">_FV(EC104,"Beta")</f>
        <v>1.0483</v>
      </c>
      <c r="BR104" s="71" cm="1">
        <f t="array" aca="1" ref="BR104" ca="1">_FV(EC104,"Variação (%)",TRUE)</f>
        <v>-1.9696999999999999E-2</v>
      </c>
      <c r="BT104" s="17" cm="1">
        <f t="array" aca="1" ref="BT104" ca="1">_FV(EC104,"Baixo")</f>
        <v>12.94</v>
      </c>
      <c r="BU104" s="17" cm="1">
        <f t="array" aca="1" ref="BU104" ca="1">_FV(EC104,"Alto")</f>
        <v>13.22</v>
      </c>
      <c r="BV104" s="24"/>
      <c r="BW104" s="63" t="e">
        <f ca="1">SQRT(22.5*(BL104/VLOOKUP(BM104,Fundamentus!A:U,3,FALSE))*(BL104/VLOOKUP(BM104,Fundamentus!A:U,4,FALSE)))</f>
        <v>#N/A</v>
      </c>
      <c r="BY104" s="62">
        <f t="shared" ca="1" si="112"/>
        <v>0</v>
      </c>
      <c r="BZ104" s="8"/>
      <c r="CA104" s="61">
        <f t="shared" si="113"/>
        <v>10.1</v>
      </c>
      <c r="CB104" s="61">
        <f t="shared" si="114"/>
        <v>13.79</v>
      </c>
      <c r="CC104" s="61">
        <f t="shared" si="115"/>
        <v>12.209365079365083</v>
      </c>
      <c r="CD104" s="14"/>
      <c r="CE104" s="35">
        <f t="shared" si="98"/>
        <v>12.855782181590806</v>
      </c>
      <c r="CF104" s="15">
        <f t="shared" si="116"/>
        <v>13.365999999999985</v>
      </c>
      <c r="CG104" s="35">
        <f t="shared" si="99"/>
        <v>13.876217818409165</v>
      </c>
      <c r="CI104" s="14"/>
      <c r="CJ104" s="17">
        <f t="shared" si="100"/>
        <v>7.6400000000000023</v>
      </c>
      <c r="CK104" s="17">
        <f t="shared" si="101"/>
        <v>8.870000000000001</v>
      </c>
      <c r="CL104" s="17">
        <f t="shared" si="102"/>
        <v>11.330000000000002</v>
      </c>
      <c r="CM104" s="38">
        <f t="shared" si="117"/>
        <v>12.56</v>
      </c>
      <c r="CN104" s="17">
        <f t="shared" si="103"/>
        <v>15.020000000000001</v>
      </c>
      <c r="CO104" s="17">
        <f t="shared" si="104"/>
        <v>16.25</v>
      </c>
      <c r="CP104" s="17">
        <f t="shared" si="105"/>
        <v>18.71</v>
      </c>
      <c r="CQ104" s="2" cm="1">
        <f t="array" aca="1" ref="CQ104" ca="1">MAX(_xlfn._xlws.FILTER(CJ104:CP104,CJ104:CP104&lt;BL104))</f>
        <v>12.56</v>
      </c>
      <c r="CR104" s="2" cm="1">
        <f t="array" aca="1" ref="CR104" ca="1">MIN(_xlfn._xlws.FILTER($CJ104:$CP104,$CJ104:$CP104&gt;BL104))</f>
        <v>15.020000000000001</v>
      </c>
      <c r="CS104" s="16">
        <f t="shared" ca="1" si="119"/>
        <v>0.19585987261146509</v>
      </c>
      <c r="CT104" s="20">
        <f t="shared" ca="1" si="120"/>
        <v>-9.7929936305732546E-2</v>
      </c>
      <c r="CU104" s="20">
        <f t="shared" ca="1" si="121"/>
        <v>-6.5286624203821697E-2</v>
      </c>
      <c r="CV104" s="20">
        <f t="shared" ca="1" si="122"/>
        <v>-3.917197452229302E-2</v>
      </c>
      <c r="CW104" s="20">
        <f t="shared" ca="1" si="123"/>
        <v>-2.1762208067940565E-2</v>
      </c>
      <c r="CX104" s="20">
        <f t="shared" ca="1" si="124"/>
        <v>-1.1521168977145006E-2</v>
      </c>
      <c r="CY104" s="20">
        <f t="shared" ca="1" si="125"/>
        <v>-5.9351476548928812E-3</v>
      </c>
      <c r="CZ104" s="20">
        <f t="shared" ca="1" si="126"/>
        <v>-3.0132288094071552E-3</v>
      </c>
      <c r="DA104" s="21">
        <f t="shared" ca="1" si="127"/>
        <v>3.0132288094071552E-3</v>
      </c>
      <c r="DB104" s="21">
        <f t="shared" ca="1" si="128"/>
        <v>5.9351476548928812E-3</v>
      </c>
      <c r="DC104" s="21">
        <f t="shared" ca="1" si="129"/>
        <v>1.1521168977145006E-2</v>
      </c>
      <c r="DD104" s="21">
        <f t="shared" ca="1" si="130"/>
        <v>2.1762208067940565E-2</v>
      </c>
      <c r="DE104" s="21">
        <f t="shared" ca="1" si="131"/>
        <v>3.917197452229302E-2</v>
      </c>
      <c r="DF104" s="21">
        <f t="shared" ca="1" si="132"/>
        <v>6.5286624203821697E-2</v>
      </c>
      <c r="DG104" s="21">
        <f t="shared" ca="1" si="133"/>
        <v>9.7929936305732546E-2</v>
      </c>
      <c r="DI104" s="16" cm="1">
        <f t="array" aca="1" ref="DI104" ca="1">MAX(_xlfn._xlws.FILTER(CT104:DG104,CT104:DG104&lt;BR104))</f>
        <v>-2.1762208067940565E-2</v>
      </c>
      <c r="DJ104" s="16" cm="1">
        <f t="array" aca="1" ref="DJ104" ca="1">MIN(_xlfn._xlws.FILTER(CT104:DG104,CT104:DG104&gt;BR104))</f>
        <v>-1.1521168977145006E-2</v>
      </c>
      <c r="DK104" s="2" cm="1">
        <f t="array" aca="1" ref="DK104" ca="1">_FV(EC104,"Fechamento anterior",TRUE)</f>
        <v>13.2</v>
      </c>
      <c r="DL104" s="28">
        <f t="shared" ca="1" si="106"/>
        <v>0.20166297117517076</v>
      </c>
      <c r="DM104" s="15">
        <f t="shared" ca="1" si="134"/>
        <v>12.912738853503184</v>
      </c>
      <c r="DN104" s="15">
        <f t="shared" ca="1" si="135"/>
        <v>13.047920569501684</v>
      </c>
      <c r="DO104" s="9"/>
      <c r="DP104" s="9"/>
      <c r="DQ104" s="9"/>
      <c r="DR104" s="89">
        <v>8.8221845665563889E-3</v>
      </c>
      <c r="DS104" s="89">
        <v>5.6193065095142243E-3</v>
      </c>
      <c r="DT104" s="89">
        <v>2.921918845485726E-3</v>
      </c>
      <c r="DU104" s="89">
        <v>1.0241039090795559E-2</v>
      </c>
      <c r="DV104" s="89">
        <f t="shared" ca="1" si="107"/>
        <v>1.0241039090795559E-2</v>
      </c>
      <c r="DW104" s="72">
        <f t="shared" ca="1" si="108"/>
        <v>-0.83493752007372402</v>
      </c>
      <c r="DX104" s="37"/>
      <c r="DY104" s="35">
        <f t="shared" si="118"/>
        <v>0.25510890920458956</v>
      </c>
      <c r="DZ104" s="56"/>
      <c r="EA104" s="56"/>
      <c r="EC104" s="2" t="e" vm="104">
        <v>#VALUE!</v>
      </c>
      <c r="EE104" s="10" cm="1">
        <f t="array" aca="1" ref="EE104" ca="1">_FV(EC104,"Ações em circulação",TRUE)</f>
        <v>2020000000</v>
      </c>
      <c r="EF104" s="18" t="e">
        <f>VLOOKUP(BM104,Fundamentus!A:U,5,FALSE)</f>
        <v>#N/A</v>
      </c>
      <c r="EG104" s="2" t="e">
        <f t="shared" ca="1" si="109"/>
        <v>#N/A</v>
      </c>
      <c r="EH104" s="17" t="e">
        <v>#N/A</v>
      </c>
      <c r="EI104" s="17" t="e">
        <f t="shared" ca="1" si="110"/>
        <v>#N/A</v>
      </c>
      <c r="EK104" s="16" t="e">
        <f t="shared" ca="1" si="97"/>
        <v>#N/A</v>
      </c>
      <c r="EL104" s="32" t="e">
        <f>IF(VLOOKUP(BM104,Fundamentus!A:U,3,FALSE)&lt;15,"Bom",IF(VLOOKUP(BM104,Fundamentus!A:U,3,FALSE)&gt;15,"Ruim","n/a"))</f>
        <v>#N/A</v>
      </c>
      <c r="EM104" s="28" t="e">
        <f>IF(VLOOKUP(BM104,Fundamentus!A:U,4,FALSE)&lt;1,"Baixo",IF(VLOOKUP(BM104,Fundamentus!A:U,4,FALSE)&lt;1.5,"Moderado",IF(VLOOKUP(BM104,Fundamentus!A:U,4,FALSE)&gt;1.5,"Alto","n/a")))</f>
        <v>#N/A</v>
      </c>
      <c r="EN104" s="17" t="e">
        <f>IF(VLOOKUP(BM104,Fundamentus!A:U,8,FALSE)&lt;0,"Risco elevado",IF(VLOOKUP(BM104,Fundamentus!A:U,8,FALSE)&lt;1,"Saudável",IF(VLOOKUP(BM104,Fundamentus!A:U,8,FALSE)&lt;3,"Estável",IF(VLOOKUP(BM104,Fundamentus!A:U,8,FALSE)&gt;3,"Alerta","n/a"))))</f>
        <v>#N/A</v>
      </c>
      <c r="EO104" s="28" t="e">
        <f t="shared" si="111"/>
        <v>#N/A</v>
      </c>
      <c r="EP104" s="17" t="e">
        <f>IF(VLOOKUP(BM104,Fundamentus!A:U,12,FALSE)&lt;2,"Subvalorizada",IF(VLOOKUP(BM104,Fundamentus!A:U,12,FALSE)&lt;6,"Muita barata",IF(VLOOKUP(BM104,Fundamentus!A:U,12,FALSE)&lt;6,"Barata",IF(VLOOKUP(BM104,Fundamentus!A:U,12,FALSE)&lt;8,"Atrativa",IF(VLOOKUP(BM104,Fundamentus!A:U,12,FALSE)&gt;8,"Supervalorizada","n/a")))))</f>
        <v>#N/A</v>
      </c>
      <c r="ER104" s="17" t="e">
        <f>IF(VLOOKUP(BM104,Fundamentus!A:U,17,FALSE)&lt;0.1,"Fraco retorno",IF(VLOOKUP(BM104,Fundamentus!A:U,17,FALSE)&gt;0.1,"Bom retorno","n/a"))</f>
        <v>#N/A</v>
      </c>
      <c r="ES104" s="17" t="e">
        <f>IF(VLOOKUP(BM104,Fundamentus!A:U,16,FALSE)&lt;0.1,"Ineficiente",IF(VLOOKUP(BM104,Fundamentus!A:U,16,FALSE)&gt;0.1,"Eficiente","n/a"))</f>
        <v>#N/A</v>
      </c>
      <c r="ET104" s="33" t="e">
        <f>IF(VLOOKUP(BM104,Fundamentus!A:U,16,FALSE)&lt;0.1,"Oper. Ineficiente",IF(VLOOKUP(BM104,Fundamentus!A:U,16,FALSE)&gt;0.1,"Oper.Eficiente","n/a"))</f>
        <v>#N/A</v>
      </c>
      <c r="EU104" s="34" t="e">
        <f>VLOOKUP(BM104,Fundamentus!A:U,14,FALSE)</f>
        <v>#N/A</v>
      </c>
      <c r="EV104" s="17" t="e">
        <f>IF(VLOOKUP(BM104,Fundamentus!A:U,21,FALSE)&lt;0,"Negativo",IF(VLOOKUP(BM104,Fundamentus!A:U,21,FALSE)&lt;0.05,"Fraco",IF(VLOOKUP(BM104,Fundamentus!A:U,21,FALSE)&lt;0.1,"Bom",IF(VLOOKUP(BM104,Fundamentus!A:U,21,FALSE)&gt;0.1,"Muito bom","n/a"))))</f>
        <v>#N/A</v>
      </c>
      <c r="EX104" s="29" t="e">
        <f>IF(VLOOKUP(BM104,Fundamentus!A:U,15,FALSE)&gt;1,"Bom",IF(VLOOKUP(BM104,Fundamentus!A:U,15,FALSE)&lt;1,"Ruim","n/a"))</f>
        <v>#N/A</v>
      </c>
      <c r="EY104" s="17" t="e">
        <f>IF(VLOOKUP(BM104,Fundamentus!A:U,20,FALSE)&lt;0.5,"Baixa",IF(VLOOKUP(BM104,Fundamentus!A:U,20,FALSE)&lt;1,"Moderada",IF(VLOOKUP(BM104,Fundamentus!A:U,20,FALSE)&lt;2,"Alerta",IF(VLOOKUP(BM104,Fundamentus!A:U,20,FALSE)&gt;2,"Alta","n/a"))))</f>
        <v>#N/A</v>
      </c>
      <c r="EZ104" s="10"/>
    </row>
    <row r="105" spans="1:156" s="2" customFormat="1" ht="11.25" x14ac:dyDescent="0.2">
      <c r="A105" s="4">
        <v>4.54</v>
      </c>
      <c r="B105" s="4">
        <v>4.33</v>
      </c>
      <c r="C105" s="4">
        <v>4.28</v>
      </c>
      <c r="D105" s="4">
        <v>3.87</v>
      </c>
      <c r="E105" s="4">
        <v>3.82</v>
      </c>
      <c r="F105" s="4">
        <v>3.73</v>
      </c>
      <c r="G105" s="4">
        <v>3.67</v>
      </c>
      <c r="H105" s="4">
        <v>3.56</v>
      </c>
      <c r="I105" s="4">
        <v>3.43</v>
      </c>
      <c r="J105" s="4">
        <v>3.82</v>
      </c>
      <c r="K105" s="4">
        <v>3.76</v>
      </c>
      <c r="L105" s="4">
        <v>3.61</v>
      </c>
      <c r="M105" s="4">
        <v>3.42</v>
      </c>
      <c r="N105" s="4">
        <v>3.55</v>
      </c>
      <c r="O105" s="4">
        <v>3.6</v>
      </c>
      <c r="P105" s="4">
        <v>3.4</v>
      </c>
      <c r="Q105" s="4">
        <v>3.44</v>
      </c>
      <c r="R105" s="4">
        <v>3.39</v>
      </c>
      <c r="S105" s="4">
        <v>3.37</v>
      </c>
      <c r="T105" s="4">
        <v>3.54</v>
      </c>
      <c r="U105" s="4">
        <v>3.42</v>
      </c>
      <c r="V105" s="4">
        <v>3.52</v>
      </c>
      <c r="W105" s="4">
        <v>3.64</v>
      </c>
      <c r="X105" s="4">
        <v>3.54</v>
      </c>
      <c r="Y105" s="4">
        <v>3.56</v>
      </c>
      <c r="Z105" s="4">
        <v>3.58</v>
      </c>
      <c r="AA105" s="4">
        <v>3.51</v>
      </c>
      <c r="AB105" s="4">
        <v>3.52</v>
      </c>
      <c r="AC105" s="4">
        <v>3.7</v>
      </c>
      <c r="AD105" s="4">
        <v>3.69</v>
      </c>
      <c r="AE105" s="4">
        <v>3.41</v>
      </c>
      <c r="AF105" s="4">
        <v>3.39</v>
      </c>
      <c r="AG105" s="4">
        <v>3.88</v>
      </c>
      <c r="AH105" s="4">
        <v>3.51</v>
      </c>
      <c r="AI105" s="4">
        <v>3.59</v>
      </c>
      <c r="AJ105" s="4">
        <v>3.48</v>
      </c>
      <c r="AK105" s="4">
        <v>3.53</v>
      </c>
      <c r="AL105" s="4">
        <v>3.68</v>
      </c>
      <c r="AM105" s="4">
        <v>3.66</v>
      </c>
      <c r="AN105" s="4">
        <v>3.86</v>
      </c>
      <c r="AO105" s="4">
        <v>3.81</v>
      </c>
      <c r="AP105" s="4">
        <v>3.87</v>
      </c>
      <c r="AQ105" s="4">
        <v>3.74</v>
      </c>
      <c r="AR105" s="4">
        <v>3.74</v>
      </c>
      <c r="AS105" s="4">
        <v>3.78</v>
      </c>
      <c r="AT105" s="4">
        <v>3.99</v>
      </c>
      <c r="AU105" s="4">
        <v>3.2749999999999999</v>
      </c>
      <c r="AV105" s="4">
        <v>3.26</v>
      </c>
      <c r="AW105" s="4">
        <v>3.23</v>
      </c>
      <c r="AX105" s="4">
        <v>3.27</v>
      </c>
      <c r="AY105" s="12">
        <v>3.23</v>
      </c>
      <c r="AZ105" s="12">
        <v>3.28</v>
      </c>
      <c r="BA105" s="12">
        <v>3.24</v>
      </c>
      <c r="BB105" s="15">
        <v>3.26</v>
      </c>
      <c r="BC105" s="52">
        <v>3.2</v>
      </c>
      <c r="BD105" s="52">
        <v>3.53</v>
      </c>
      <c r="BE105" s="52">
        <v>3.41</v>
      </c>
      <c r="BF105" s="52">
        <v>3.44</v>
      </c>
      <c r="BG105" s="67">
        <v>3.33</v>
      </c>
      <c r="BH105" s="52">
        <v>3.29</v>
      </c>
      <c r="BI105" s="52">
        <v>3.27</v>
      </c>
      <c r="BJ105" s="52">
        <v>3.47</v>
      </c>
      <c r="BK105" s="52">
        <v>3.48</v>
      </c>
      <c r="BL105" s="52" cm="1">
        <f t="array" aca="1" ref="BL105" ca="1">_FV(EC105,"Preço")</f>
        <v>3.48</v>
      </c>
      <c r="BM105" s="69" t="s">
        <v>102</v>
      </c>
      <c r="BN105" s="36" cm="1">
        <f t="array" aca="1" ref="BN105" ca="1">_FV(EC105,"Média de volume",TRUE)</f>
        <v>597010</v>
      </c>
      <c r="BO105" s="36">
        <v>189900</v>
      </c>
      <c r="BP105" s="36" cm="1">
        <f t="array" aca="1" ref="BP105" ca="1">_FV(EC105,"Volume")</f>
        <v>189900</v>
      </c>
      <c r="BQ105" s="24" cm="1">
        <f t="array" aca="1" ref="BQ105" ca="1">_FV(EC105,"Beta")</f>
        <v>0.94769999999999999</v>
      </c>
      <c r="BR105" s="71" cm="1">
        <f t="array" aca="1" ref="BR105" ca="1">_FV(EC105,"Variação (%)",TRUE)</f>
        <v>-5.7140000000000003E-3</v>
      </c>
      <c r="BT105" s="17" cm="1">
        <f t="array" aca="1" ref="BT105" ca="1">_FV(EC105,"Baixo")</f>
        <v>3.45</v>
      </c>
      <c r="BU105" s="17" cm="1">
        <f t="array" aca="1" ref="BU105" ca="1">_FV(EC105,"Alto")</f>
        <v>3.52</v>
      </c>
      <c r="BV105" s="24"/>
      <c r="BW105" s="63">
        <f ca="1">SQRT(22.5*(BL105/VLOOKUP(BM105,Fundamentus!A:U,3,FALSE))*(BL105/VLOOKUP(BM105,Fundamentus!A:U,4,FALSE)))</f>
        <v>5.856561187120322</v>
      </c>
      <c r="BY105" s="62">
        <f t="shared" ca="1" si="112"/>
        <v>0</v>
      </c>
      <c r="BZ105" s="8"/>
      <c r="CA105" s="61">
        <f t="shared" si="113"/>
        <v>3.2</v>
      </c>
      <c r="CB105" s="61">
        <f t="shared" si="114"/>
        <v>4.54</v>
      </c>
      <c r="CC105" s="61">
        <f t="shared" si="115"/>
        <v>3.5745238095238103</v>
      </c>
      <c r="CD105" s="14"/>
      <c r="CE105" s="35">
        <f t="shared" si="98"/>
        <v>3.2439534946591442</v>
      </c>
      <c r="CF105" s="15">
        <f t="shared" si="116"/>
        <v>3.4159999999999968</v>
      </c>
      <c r="CG105" s="35">
        <f t="shared" si="99"/>
        <v>3.5880465053408495</v>
      </c>
      <c r="CI105" s="14"/>
      <c r="CJ105" s="17">
        <f t="shared" si="100"/>
        <v>1.5933333333333337</v>
      </c>
      <c r="CK105" s="17">
        <f t="shared" si="101"/>
        <v>2.3966666666666669</v>
      </c>
      <c r="CL105" s="17">
        <f t="shared" si="102"/>
        <v>2.9333333333333336</v>
      </c>
      <c r="CM105" s="38">
        <f t="shared" si="117"/>
        <v>3.7366666666666668</v>
      </c>
      <c r="CN105" s="17">
        <f t="shared" si="103"/>
        <v>4.2733333333333334</v>
      </c>
      <c r="CO105" s="17">
        <f t="shared" si="104"/>
        <v>5.0766666666666662</v>
      </c>
      <c r="CP105" s="17">
        <f t="shared" si="105"/>
        <v>5.6133333333333333</v>
      </c>
      <c r="CQ105" s="2" cm="1">
        <f t="array" aca="1" ref="CQ105" ca="1">MAX(_xlfn._xlws.FILTER(CJ105:CP105,CJ105:CP105&lt;BL105))</f>
        <v>2.9333333333333336</v>
      </c>
      <c r="CR105" s="2" cm="1">
        <f t="array" aca="1" ref="CR105" ca="1">MIN(_xlfn._xlws.FILTER($CJ105:$CP105,$CJ105:$CP105&gt;BL105))</f>
        <v>3.7366666666666668</v>
      </c>
      <c r="CS105" s="16">
        <f t="shared" ca="1" si="119"/>
        <v>0.2738636363636362</v>
      </c>
      <c r="CT105" s="20">
        <f t="shared" ca="1" si="120"/>
        <v>-0.1369318181818181</v>
      </c>
      <c r="CU105" s="20">
        <f t="shared" ca="1" si="121"/>
        <v>-9.1287878787878737E-2</v>
      </c>
      <c r="CV105" s="20">
        <f t="shared" ca="1" si="122"/>
        <v>-5.4772727272727237E-2</v>
      </c>
      <c r="CW105" s="20">
        <f t="shared" ca="1" si="123"/>
        <v>-3.042929292929291E-2</v>
      </c>
      <c r="CX105" s="20">
        <f t="shared" ca="1" si="124"/>
        <v>-1.6109625668449187E-2</v>
      </c>
      <c r="CY105" s="20">
        <f t="shared" ca="1" si="125"/>
        <v>-8.2988980716253401E-3</v>
      </c>
      <c r="CZ105" s="20">
        <f t="shared" ca="1" si="126"/>
        <v>-4.2132867132867111E-3</v>
      </c>
      <c r="DA105" s="21">
        <f t="shared" ca="1" si="127"/>
        <v>4.2132867132867111E-3</v>
      </c>
      <c r="DB105" s="21">
        <f t="shared" ca="1" si="128"/>
        <v>8.2988980716253401E-3</v>
      </c>
      <c r="DC105" s="21">
        <f t="shared" ca="1" si="129"/>
        <v>1.6109625668449187E-2</v>
      </c>
      <c r="DD105" s="21">
        <f t="shared" ca="1" si="130"/>
        <v>3.042929292929291E-2</v>
      </c>
      <c r="DE105" s="21">
        <f t="shared" ca="1" si="131"/>
        <v>5.4772727272727237E-2</v>
      </c>
      <c r="DF105" s="21">
        <f t="shared" ca="1" si="132"/>
        <v>9.1287878787878737E-2</v>
      </c>
      <c r="DG105" s="21">
        <f t="shared" ca="1" si="133"/>
        <v>0.1369318181818181</v>
      </c>
      <c r="DI105" s="16" cm="1">
        <f t="array" aca="1" ref="DI105" ca="1">MAX(_xlfn._xlws.FILTER(CT105:DG105,CT105:DG105&lt;BR105))</f>
        <v>-8.2988980716253401E-3</v>
      </c>
      <c r="DJ105" s="16" cm="1">
        <f t="array" aca="1" ref="DJ105" ca="1">MIN(_xlfn._xlws.FILTER(CT105:DG105,CT105:DG105&gt;BR105))</f>
        <v>-4.2132867132867111E-3</v>
      </c>
      <c r="DK105" s="2" cm="1">
        <f t="array" aca="1" ref="DK105" ca="1">_FV(EC105,"Fechamento anterior",TRUE)</f>
        <v>3.5</v>
      </c>
      <c r="DL105" s="28">
        <f t="shared" ca="1" si="106"/>
        <v>0.63261336692352488</v>
      </c>
      <c r="DM105" s="15">
        <f t="shared" ca="1" si="134"/>
        <v>3.4709538567493112</v>
      </c>
      <c r="DN105" s="15">
        <f t="shared" ca="1" si="135"/>
        <v>3.4852534965034967</v>
      </c>
      <c r="DO105" s="9"/>
      <c r="DP105" s="9"/>
      <c r="DQ105" s="9"/>
      <c r="DR105" s="89">
        <v>9.2536244081608005E-3</v>
      </c>
      <c r="DS105" s="89">
        <v>8.5360648740930457E-3</v>
      </c>
      <c r="DT105" s="89">
        <v>1.4319667260843723E-2</v>
      </c>
      <c r="DU105" s="89">
        <v>4.085611358338629E-3</v>
      </c>
      <c r="DV105" s="89">
        <f t="shared" ca="1" si="107"/>
        <v>4.085611358338629E-3</v>
      </c>
      <c r="DW105" s="72">
        <f t="shared" ca="1" si="108"/>
        <v>0.3719924439802399</v>
      </c>
      <c r="DX105" s="37"/>
      <c r="DY105" s="35">
        <f t="shared" si="118"/>
        <v>8.6023252670426278E-2</v>
      </c>
      <c r="DZ105" s="56"/>
      <c r="EA105" s="56"/>
      <c r="EC105" s="2" t="e" vm="105">
        <v>#VALUE!</v>
      </c>
      <c r="EE105" s="10" cm="1">
        <f t="array" aca="1" ref="EE105" ca="1">_FV(EC105,"Ações em circulação",TRUE)</f>
        <v>206269300</v>
      </c>
      <c r="EF105" s="18">
        <f>VLOOKUP(BM105,Fundamentus!A:U,5,FALSE)</f>
        <v>0.68100000000000005</v>
      </c>
      <c r="EG105" s="2">
        <f t="shared" ca="1" si="109"/>
        <v>1054063383.2599118</v>
      </c>
      <c r="EH105" s="17">
        <v>120795663.72158588</v>
      </c>
      <c r="EI105" s="17">
        <f t="shared" ca="1" si="110"/>
        <v>120795663.72158588</v>
      </c>
      <c r="EK105" s="16">
        <f t="shared" ca="1" si="97"/>
        <v>0</v>
      </c>
      <c r="EL105" s="32" t="str">
        <f>IF(VLOOKUP(BM105,Fundamentus!A:U,3,FALSE)&lt;15,"Bom",IF(VLOOKUP(BM105,Fundamentus!A:U,3,FALSE)&gt;15,"Ruim","n/a"))</f>
        <v>Bom</v>
      </c>
      <c r="EM105" s="28" t="str">
        <f>IF(VLOOKUP(BM105,Fundamentus!A:U,4,FALSE)&lt;1,"Baixo",IF(VLOOKUP(BM105,Fundamentus!A:U,4,FALSE)&lt;1.5,"Moderado",IF(VLOOKUP(BM105,Fundamentus!A:U,4,FALSE)&gt;1.5,"Alto","n/a")))</f>
        <v>Baixo</v>
      </c>
      <c r="EN105" s="17" t="str">
        <f>IF(VLOOKUP(BM105,Fundamentus!A:U,8,FALSE)&lt;0,"Risco elevado",IF(VLOOKUP(BM105,Fundamentus!A:U,8,FALSE)&lt;1,"Saudável",IF(VLOOKUP(BM105,Fundamentus!A:U,8,FALSE)&lt;3,"Estável",IF(VLOOKUP(BM105,Fundamentus!A:U,8,FALSE)&gt;3,"Alerta","n/a"))))</f>
        <v>Saudável</v>
      </c>
      <c r="EO105" s="28" t="str">
        <f t="shared" si="111"/>
        <v>Ruim</v>
      </c>
      <c r="EP105" s="17" t="str">
        <f>IF(VLOOKUP(BM105,Fundamentus!A:U,12,FALSE)&lt;2,"Subvalorizada",IF(VLOOKUP(BM105,Fundamentus!A:U,12,FALSE)&lt;6,"Muita barata",IF(VLOOKUP(BM105,Fundamentus!A:U,12,FALSE)&lt;6,"Barata",IF(VLOOKUP(BM105,Fundamentus!A:U,12,FALSE)&lt;8,"Atrativa",IF(VLOOKUP(BM105,Fundamentus!A:U,12,FALSE)&gt;8,"Supervalorizada","n/a")))))</f>
        <v>Supervalorizada</v>
      </c>
      <c r="ER105" s="17" t="str">
        <f>IF(VLOOKUP(BM105,Fundamentus!A:U,17,FALSE)&lt;0.1,"Fraco retorno",IF(VLOOKUP(BM105,Fundamentus!A:U,17,FALSE)&gt;0.1,"Bom retorno","n/a"))</f>
        <v>Fraco retorno</v>
      </c>
      <c r="ES105" s="17" t="str">
        <f>IF(VLOOKUP(BM105,Fundamentus!A:U,16,FALSE)&lt;0.1,"Ineficiente",IF(VLOOKUP(BM105,Fundamentus!A:U,16,FALSE)&gt;0.1,"Eficiente","n/a"))</f>
        <v>Ineficiente</v>
      </c>
      <c r="ET105" s="33" t="str">
        <f>IF(VLOOKUP(BM105,Fundamentus!A:U,16,FALSE)&lt;0.1,"Oper. Ineficiente",IF(VLOOKUP(BM105,Fundamentus!A:U,16,FALSE)&gt;0.1,"Oper.Eficiente","n/a"))</f>
        <v>Oper. Ineficiente</v>
      </c>
      <c r="EU105" s="34">
        <f>VLOOKUP(BM105,Fundamentus!A:U,14,FALSE)</f>
        <v>0.11459999999999999</v>
      </c>
      <c r="EV105" s="17" t="str">
        <f>IF(VLOOKUP(BM105,Fundamentus!A:U,21,FALSE)&lt;0,"Negativo",IF(VLOOKUP(BM105,Fundamentus!A:U,21,FALSE)&lt;0.05,"Fraco",IF(VLOOKUP(BM105,Fundamentus!A:U,21,FALSE)&lt;0.1,"Bom",IF(VLOOKUP(BM105,Fundamentus!A:U,21,FALSE)&gt;0.1,"Muito bom","n/a"))))</f>
        <v>Muito bom</v>
      </c>
      <c r="EX105" s="29" t="str">
        <f>IF(VLOOKUP(BM105,Fundamentus!A:U,15,FALSE)&gt;1,"Bom",IF(VLOOKUP(BM105,Fundamentus!A:U,15,FALSE)&lt;1,"Ruim","n/a"))</f>
        <v>Bom</v>
      </c>
      <c r="EY105" s="17" t="str">
        <f>IF(VLOOKUP(BM105,Fundamentus!A:U,20,FALSE)&lt;0.5,"Baixa",IF(VLOOKUP(BM105,Fundamentus!A:U,20,FALSE)&lt;1,"Moderada",IF(VLOOKUP(BM105,Fundamentus!A:U,20,FALSE)&lt;2,"Alerta",IF(VLOOKUP(BM105,Fundamentus!A:U,20,FALSE)&gt;2,"Alta","n/a"))))</f>
        <v>Baixa</v>
      </c>
      <c r="EZ105" s="10"/>
    </row>
    <row r="106" spans="1:156" s="2" customFormat="1" ht="11.25" x14ac:dyDescent="0.2">
      <c r="A106" s="4">
        <v>33.08</v>
      </c>
      <c r="B106" s="4">
        <v>32.67</v>
      </c>
      <c r="C106" s="4">
        <v>34.21</v>
      </c>
      <c r="D106" s="4">
        <v>34.950000000000003</v>
      </c>
      <c r="E106" s="4">
        <v>33.97</v>
      </c>
      <c r="F106" s="4">
        <v>33.340000000000003</v>
      </c>
      <c r="G106" s="4">
        <v>32.729999999999997</v>
      </c>
      <c r="H106" s="4">
        <v>32.630000000000003</v>
      </c>
      <c r="I106" s="4">
        <v>32.89</v>
      </c>
      <c r="J106" s="4">
        <v>33.08</v>
      </c>
      <c r="K106" s="4">
        <v>33.79</v>
      </c>
      <c r="L106" s="4">
        <v>32.880000000000003</v>
      </c>
      <c r="M106" s="4">
        <v>32.799999999999997</v>
      </c>
      <c r="N106" s="4">
        <v>33.18</v>
      </c>
      <c r="O106" s="4">
        <v>33.1</v>
      </c>
      <c r="P106" s="4">
        <v>33.44</v>
      </c>
      <c r="Q106" s="4">
        <v>33.770000000000003</v>
      </c>
      <c r="R106" s="4">
        <v>34.090000000000003</v>
      </c>
      <c r="S106" s="4">
        <v>34.65</v>
      </c>
      <c r="T106" s="4">
        <v>34</v>
      </c>
      <c r="U106" s="4">
        <v>33.380000000000003</v>
      </c>
      <c r="V106" s="4">
        <v>33.76</v>
      </c>
      <c r="W106" s="4">
        <v>34.01</v>
      </c>
      <c r="X106" s="4">
        <v>32.520000000000003</v>
      </c>
      <c r="Y106" s="4">
        <v>32.520000000000003</v>
      </c>
      <c r="Z106" s="4">
        <v>32.71</v>
      </c>
      <c r="AA106" s="4">
        <v>32.42</v>
      </c>
      <c r="AB106" s="4">
        <v>32.24</v>
      </c>
      <c r="AC106" s="4">
        <v>32.36</v>
      </c>
      <c r="AD106" s="4">
        <v>32.979999999999997</v>
      </c>
      <c r="AE106" s="4">
        <v>32.619999999999997</v>
      </c>
      <c r="AF106" s="4">
        <v>32.03</v>
      </c>
      <c r="AG106" s="4">
        <v>32</v>
      </c>
      <c r="AH106" s="4">
        <v>31.3</v>
      </c>
      <c r="AI106" s="4">
        <v>31.55</v>
      </c>
      <c r="AJ106" s="4">
        <v>31</v>
      </c>
      <c r="AK106" s="4">
        <v>31.64</v>
      </c>
      <c r="AL106" s="4">
        <v>33.24</v>
      </c>
      <c r="AM106" s="4">
        <v>32.96</v>
      </c>
      <c r="AN106" s="4">
        <v>34.380000000000003</v>
      </c>
      <c r="AO106" s="4">
        <v>34.04</v>
      </c>
      <c r="AP106" s="4">
        <v>34.4</v>
      </c>
      <c r="AQ106" s="4">
        <v>35.03</v>
      </c>
      <c r="AR106" s="4">
        <v>35.08</v>
      </c>
      <c r="AS106" s="4">
        <v>37.700000000000003</v>
      </c>
      <c r="AT106" s="4">
        <v>37.44</v>
      </c>
      <c r="AU106" s="4">
        <v>37.775000000000013</v>
      </c>
      <c r="AV106" s="4">
        <v>37.82</v>
      </c>
      <c r="AW106" s="4">
        <v>37.9</v>
      </c>
      <c r="AX106" s="4">
        <v>37.71</v>
      </c>
      <c r="AY106" s="12">
        <v>38.25</v>
      </c>
      <c r="AZ106" s="12">
        <v>39.04</v>
      </c>
      <c r="BA106" s="12">
        <v>38.19</v>
      </c>
      <c r="BB106" s="15">
        <v>38.6</v>
      </c>
      <c r="BC106" s="52">
        <v>39.799999999999997</v>
      </c>
      <c r="BD106" s="52">
        <v>40.590000000000003</v>
      </c>
      <c r="BE106" s="52">
        <v>40.49</v>
      </c>
      <c r="BF106" s="52">
        <v>40.520000000000003</v>
      </c>
      <c r="BG106" s="67">
        <v>40.5</v>
      </c>
      <c r="BH106" s="52">
        <v>40.28</v>
      </c>
      <c r="BI106" s="52">
        <v>40.33</v>
      </c>
      <c r="BJ106" s="52">
        <v>40.98</v>
      </c>
      <c r="BK106" s="52">
        <v>38.06</v>
      </c>
      <c r="BL106" s="52" cm="1">
        <f t="array" aca="1" ref="BL106" ca="1">_FV(EC106,"Preço")</f>
        <v>38.06</v>
      </c>
      <c r="BM106" s="69" t="s">
        <v>103</v>
      </c>
      <c r="BN106" s="36" cm="1">
        <f t="array" aca="1" ref="BN106" ca="1">_FV(EC106,"Média de volume",TRUE)</f>
        <v>1158540</v>
      </c>
      <c r="BO106" s="36">
        <v>617900</v>
      </c>
      <c r="BP106" s="36" cm="1">
        <f t="array" aca="1" ref="BP106" ca="1">_FV(EC106,"Volume")</f>
        <v>617900</v>
      </c>
      <c r="BQ106" s="24" cm="1">
        <f t="array" aca="1" ref="BQ106" ca="1">_FV(EC106,"Beta")</f>
        <v>0.66700000000000004</v>
      </c>
      <c r="BR106" s="71" cm="1">
        <f t="array" aca="1" ref="BR106" ca="1">_FV(EC106,"Variação (%)",TRUE)</f>
        <v>-3.6649999999999999E-3</v>
      </c>
      <c r="BT106" s="17" cm="1">
        <f t="array" aca="1" ref="BT106" ca="1">_FV(EC106,"Baixo")</f>
        <v>37.869999999999997</v>
      </c>
      <c r="BU106" s="17" cm="1">
        <f t="array" aca="1" ref="BU106" ca="1">_FV(EC106,"Alto")</f>
        <v>38.46</v>
      </c>
      <c r="BV106" s="24"/>
      <c r="BW106" s="63">
        <f ca="1">SQRT(22.5*(BL106/VLOOKUP(BM106,Fundamentus!A:U,3,FALSE))*(BL106/VLOOKUP(BM106,Fundamentus!A:U,4,FALSE)))</f>
        <v>42.115927473329798</v>
      </c>
      <c r="BY106" s="62">
        <f t="shared" ca="1" si="112"/>
        <v>0</v>
      </c>
      <c r="BZ106" s="8"/>
      <c r="CA106" s="61">
        <f t="shared" si="113"/>
        <v>31</v>
      </c>
      <c r="CB106" s="61">
        <f t="shared" si="114"/>
        <v>40.98</v>
      </c>
      <c r="CC106" s="61">
        <f t="shared" si="115"/>
        <v>34.942777777777778</v>
      </c>
      <c r="CD106" s="14"/>
      <c r="CE106" s="35">
        <f t="shared" si="98"/>
        <v>37.722223411205185</v>
      </c>
      <c r="CF106" s="15">
        <f t="shared" si="116"/>
        <v>39.611999999999625</v>
      </c>
      <c r="CG106" s="35">
        <f t="shared" si="99"/>
        <v>41.501776588794066</v>
      </c>
      <c r="CI106" s="14"/>
      <c r="CJ106" s="17">
        <f t="shared" si="100"/>
        <v>24.346666666666664</v>
      </c>
      <c r="CK106" s="17">
        <f t="shared" si="101"/>
        <v>27.673333333333332</v>
      </c>
      <c r="CL106" s="17">
        <f t="shared" si="102"/>
        <v>34.326666666666661</v>
      </c>
      <c r="CM106" s="38">
        <f t="shared" si="117"/>
        <v>37.653333333333329</v>
      </c>
      <c r="CN106" s="17">
        <f t="shared" si="103"/>
        <v>44.306666666666658</v>
      </c>
      <c r="CO106" s="17">
        <f t="shared" si="104"/>
        <v>47.633333333333326</v>
      </c>
      <c r="CP106" s="17">
        <f t="shared" si="105"/>
        <v>54.286666666666655</v>
      </c>
      <c r="CQ106" s="2" cm="1">
        <f t="array" aca="1" ref="CQ106" ca="1">MAX(_xlfn._xlws.FILTER(CJ106:CP106,CJ106:CP106&lt;BL106))</f>
        <v>37.653333333333329</v>
      </c>
      <c r="CR106" s="2" cm="1">
        <f t="array" aca="1" ref="CR106" ca="1">MIN(_xlfn._xlws.FILTER($CJ106:$CP106,$CJ106:$CP106&gt;BL106))</f>
        <v>44.306666666666658</v>
      </c>
      <c r="CS106" s="16">
        <f t="shared" ca="1" si="119"/>
        <v>0.17669971671388085</v>
      </c>
      <c r="CT106" s="20">
        <f t="shared" ca="1" si="120"/>
        <v>-8.8349858356940425E-2</v>
      </c>
      <c r="CU106" s="20">
        <f t="shared" ca="1" si="121"/>
        <v>-5.8899905571293619E-2</v>
      </c>
      <c r="CV106" s="20">
        <f t="shared" ca="1" si="122"/>
        <v>-3.5339943342776167E-2</v>
      </c>
      <c r="CW106" s="20">
        <f t="shared" ca="1" si="123"/>
        <v>-1.9633301857097871E-2</v>
      </c>
      <c r="CX106" s="20">
        <f t="shared" ca="1" si="124"/>
        <v>-1.0394100983169462E-2</v>
      </c>
      <c r="CY106" s="20">
        <f t="shared" ca="1" si="125"/>
        <v>-5.3545368701176013E-3</v>
      </c>
      <c r="CZ106" s="20">
        <f t="shared" ca="1" si="126"/>
        <v>-2.7184571802135516E-3</v>
      </c>
      <c r="DA106" s="21">
        <f t="shared" ca="1" si="127"/>
        <v>2.7184571802135516E-3</v>
      </c>
      <c r="DB106" s="21">
        <f t="shared" ca="1" si="128"/>
        <v>5.3545368701176013E-3</v>
      </c>
      <c r="DC106" s="21">
        <f t="shared" ca="1" si="129"/>
        <v>1.0394100983169462E-2</v>
      </c>
      <c r="DD106" s="21">
        <f t="shared" ca="1" si="130"/>
        <v>1.9633301857097871E-2</v>
      </c>
      <c r="DE106" s="21">
        <f t="shared" ca="1" si="131"/>
        <v>3.5339943342776167E-2</v>
      </c>
      <c r="DF106" s="21">
        <f t="shared" ca="1" si="132"/>
        <v>5.8899905571293619E-2</v>
      </c>
      <c r="DG106" s="21">
        <f t="shared" ca="1" si="133"/>
        <v>8.8349858356940425E-2</v>
      </c>
      <c r="DI106" s="16" cm="1">
        <f t="array" aca="1" ref="DI106" ca="1">MAX(_xlfn._xlws.FILTER(CT106:DG106,CT106:DG106&lt;BR106))</f>
        <v>-5.3545368701176013E-3</v>
      </c>
      <c r="DJ106" s="16" cm="1">
        <f t="array" aca="1" ref="DJ106" ca="1">MIN(_xlfn._xlws.FILTER(CT106:DG106,CT106:DG106&gt;BR106))</f>
        <v>-2.7184571802135516E-3</v>
      </c>
      <c r="DK106" s="2" cm="1">
        <f t="array" aca="1" ref="DK106" ca="1">_FV(EC106,"Fechamento anterior",TRUE)</f>
        <v>38.200000000000003</v>
      </c>
      <c r="DL106" s="28">
        <f t="shared" ca="1" si="106"/>
        <v>0.64095763516562598</v>
      </c>
      <c r="DM106" s="15">
        <f t="shared" ca="1" si="134"/>
        <v>37.995456691561508</v>
      </c>
      <c r="DN106" s="15">
        <f t="shared" ca="1" si="135"/>
        <v>38.096154935715845</v>
      </c>
      <c r="DO106" s="9"/>
      <c r="DP106" s="9"/>
      <c r="DQ106" s="9"/>
      <c r="DR106" s="89">
        <v>4.5225532590153538E-3</v>
      </c>
      <c r="DS106" s="89">
        <v>2.5407488695917638E-3</v>
      </c>
      <c r="DT106" s="89">
        <v>2.6360796899040496E-3</v>
      </c>
      <c r="DU106" s="89">
        <v>2.6360796899040496E-3</v>
      </c>
      <c r="DV106" s="89">
        <f t="shared" ca="1" si="107"/>
        <v>2.6360796899040496E-3</v>
      </c>
      <c r="DW106" s="72">
        <f t="shared" ca="1" si="108"/>
        <v>-0.82126109996404517</v>
      </c>
      <c r="DX106" s="37"/>
      <c r="DY106" s="35">
        <f t="shared" si="118"/>
        <v>0.94488829439721966</v>
      </c>
      <c r="DZ106" s="56"/>
      <c r="EA106" s="56"/>
      <c r="EC106" s="2" t="e" vm="106">
        <v>#VALUE!</v>
      </c>
      <c r="EE106" s="10" cm="1">
        <f t="array" aca="1" ref="EE106" ca="1">_FV(EC106,"Ações em circulação",TRUE)</f>
        <v>1152254000</v>
      </c>
      <c r="EF106" s="18">
        <f>VLOOKUP(BM106,Fundamentus!A:U,5,FALSE)</f>
        <v>1.0820000000000001</v>
      </c>
      <c r="EG106" s="2">
        <f t="shared" ca="1" si="109"/>
        <v>40531226654.343803</v>
      </c>
      <c r="EH106" s="17">
        <v>5285271955.7264318</v>
      </c>
      <c r="EI106" s="17">
        <f t="shared" ca="1" si="110"/>
        <v>5285271955.7264318</v>
      </c>
      <c r="EK106" s="16">
        <f t="shared" ca="1" si="97"/>
        <v>0</v>
      </c>
      <c r="EL106" s="32" t="str">
        <f>IF(VLOOKUP(BM106,Fundamentus!A:U,3,FALSE)&lt;15,"Bom",IF(VLOOKUP(BM106,Fundamentus!A:U,3,FALSE)&gt;15,"Ruim","n/a"))</f>
        <v>Bom</v>
      </c>
      <c r="EM106" s="28" t="str">
        <f>IF(VLOOKUP(BM106,Fundamentus!A:U,4,FALSE)&lt;1,"Baixo",IF(VLOOKUP(BM106,Fundamentus!A:U,4,FALSE)&lt;1.5,"Moderado",IF(VLOOKUP(BM106,Fundamentus!A:U,4,FALSE)&gt;1.5,"Alto","n/a")))</f>
        <v>Alto</v>
      </c>
      <c r="EN106" s="17" t="str">
        <f>IF(VLOOKUP(BM106,Fundamentus!A:U,8,FALSE)&lt;0,"Risco elevado",IF(VLOOKUP(BM106,Fundamentus!A:U,8,FALSE)&lt;1,"Saudável",IF(VLOOKUP(BM106,Fundamentus!A:U,8,FALSE)&lt;3,"Estável",IF(VLOOKUP(BM106,Fundamentus!A:U,8,FALSE)&gt;3,"Alerta","n/a"))))</f>
        <v>Risco elevado</v>
      </c>
      <c r="EO106" s="28" t="str">
        <f t="shared" si="111"/>
        <v>Bom</v>
      </c>
      <c r="EP106" s="17" t="str">
        <f>IF(VLOOKUP(BM106,Fundamentus!A:U,12,FALSE)&lt;2,"Subvalorizada",IF(VLOOKUP(BM106,Fundamentus!A:U,12,FALSE)&lt;6,"Muita barata",IF(VLOOKUP(BM106,Fundamentus!A:U,12,FALSE)&lt;6,"Barata",IF(VLOOKUP(BM106,Fundamentus!A:U,12,FALSE)&lt;8,"Atrativa",IF(VLOOKUP(BM106,Fundamentus!A:U,12,FALSE)&gt;8,"Supervalorizada","n/a")))))</f>
        <v>Muita barata</v>
      </c>
      <c r="ER106" s="17" t="str">
        <f>IF(VLOOKUP(BM106,Fundamentus!A:U,17,FALSE)&lt;0.1,"Fraco retorno",IF(VLOOKUP(BM106,Fundamentus!A:U,17,FALSE)&gt;0.1,"Bom retorno","n/a"))</f>
        <v>Bom retorno</v>
      </c>
      <c r="ES106" s="17" t="str">
        <f>IF(VLOOKUP(BM106,Fundamentus!A:U,16,FALSE)&lt;0.1,"Ineficiente",IF(VLOOKUP(BM106,Fundamentus!A:U,16,FALSE)&gt;0.1,"Eficiente","n/a"))</f>
        <v>Eficiente</v>
      </c>
      <c r="ET106" s="33" t="str">
        <f>IF(VLOOKUP(BM106,Fundamentus!A:U,16,FALSE)&lt;0.1,"Oper. Ineficiente",IF(VLOOKUP(BM106,Fundamentus!A:U,16,FALSE)&gt;0.1,"Oper.Eficiente","n/a"))</f>
        <v>Oper.Eficiente</v>
      </c>
      <c r="EU106" s="34">
        <f>VLOOKUP(BM106,Fundamentus!A:U,14,FALSE)</f>
        <v>0.13039999999999999</v>
      </c>
      <c r="EV106" s="17" t="str">
        <f>IF(VLOOKUP(BM106,Fundamentus!A:U,21,FALSE)&lt;0,"Negativo",IF(VLOOKUP(BM106,Fundamentus!A:U,21,FALSE)&lt;0.05,"Fraco",IF(VLOOKUP(BM106,Fundamentus!A:U,21,FALSE)&lt;0.1,"Bom",IF(VLOOKUP(BM106,Fundamentus!A:U,21,FALSE)&gt;0.1,"Muito bom","n/a"))))</f>
        <v>Bom</v>
      </c>
      <c r="EX106" s="29" t="str">
        <f>IF(VLOOKUP(BM106,Fundamentus!A:U,15,FALSE)&gt;1,"Bom",IF(VLOOKUP(BM106,Fundamentus!A:U,15,FALSE)&lt;1,"Ruim","n/a"))</f>
        <v>Ruim</v>
      </c>
      <c r="EY106" s="17" t="str">
        <f>IF(VLOOKUP(BM106,Fundamentus!A:U,20,FALSE)&lt;0.5,"Baixa",IF(VLOOKUP(BM106,Fundamentus!A:U,20,FALSE)&lt;1,"Moderada",IF(VLOOKUP(BM106,Fundamentus!A:U,20,FALSE)&lt;2,"Alerta",IF(VLOOKUP(BM106,Fundamentus!A:U,20,FALSE)&gt;2,"Alta","n/a"))))</f>
        <v>Alerta</v>
      </c>
      <c r="EZ106" s="10"/>
    </row>
    <row r="107" spans="1:156" s="2" customFormat="1" ht="11.25" x14ac:dyDescent="0.2">
      <c r="A107" s="4">
        <v>80.8</v>
      </c>
      <c r="B107" s="4">
        <v>79.239999999999995</v>
      </c>
      <c r="C107" s="4">
        <v>78.56</v>
      </c>
      <c r="D107" s="4">
        <v>75.209999999999994</v>
      </c>
      <c r="E107" s="4">
        <v>73.86</v>
      </c>
      <c r="F107" s="4">
        <v>74.25</v>
      </c>
      <c r="G107" s="4">
        <v>75</v>
      </c>
      <c r="H107" s="4">
        <v>74.849999999999994</v>
      </c>
      <c r="I107" s="4">
        <v>74</v>
      </c>
      <c r="J107" s="4">
        <v>82.08</v>
      </c>
      <c r="K107" s="4">
        <v>83.15</v>
      </c>
      <c r="L107" s="4">
        <v>84.9</v>
      </c>
      <c r="M107" s="4">
        <v>86.8</v>
      </c>
      <c r="N107" s="4">
        <v>89.31</v>
      </c>
      <c r="O107" s="4">
        <v>97.33</v>
      </c>
      <c r="P107" s="4">
        <v>98.7</v>
      </c>
      <c r="Q107" s="4">
        <v>96.8</v>
      </c>
      <c r="R107" s="4">
        <v>94.73</v>
      </c>
      <c r="S107" s="4">
        <v>94.75</v>
      </c>
      <c r="T107" s="4">
        <v>94.53</v>
      </c>
      <c r="U107" s="4">
        <v>94.66</v>
      </c>
      <c r="V107" s="4">
        <v>90.08</v>
      </c>
      <c r="W107" s="4">
        <v>88.12</v>
      </c>
      <c r="X107" s="4">
        <v>88.1</v>
      </c>
      <c r="Y107" s="4">
        <v>90.98</v>
      </c>
      <c r="Z107" s="4">
        <v>91.3</v>
      </c>
      <c r="AA107" s="4">
        <v>89.39</v>
      </c>
      <c r="AB107" s="4">
        <v>89</v>
      </c>
      <c r="AC107" s="4">
        <v>96.31</v>
      </c>
      <c r="AD107" s="4">
        <v>98.03</v>
      </c>
      <c r="AE107" s="4">
        <v>92.98</v>
      </c>
      <c r="AF107" s="4">
        <v>91.06</v>
      </c>
      <c r="AG107" s="4">
        <v>89.41</v>
      </c>
      <c r="AH107" s="4">
        <v>88.4</v>
      </c>
      <c r="AI107" s="4">
        <v>88.29</v>
      </c>
      <c r="AJ107" s="4">
        <v>86.91</v>
      </c>
      <c r="AK107" s="4">
        <v>87.59</v>
      </c>
      <c r="AL107" s="4">
        <v>93</v>
      </c>
      <c r="AM107" s="4">
        <v>92.8</v>
      </c>
      <c r="AN107" s="4">
        <v>94.57</v>
      </c>
      <c r="AO107" s="4">
        <v>96.51</v>
      </c>
      <c r="AP107" s="4">
        <v>101.6</v>
      </c>
      <c r="AQ107" s="4">
        <v>98.55</v>
      </c>
      <c r="AR107" s="4">
        <v>94.98</v>
      </c>
      <c r="AS107" s="4">
        <v>96.19</v>
      </c>
      <c r="AT107" s="4">
        <v>99.3</v>
      </c>
      <c r="AU107" s="4">
        <v>101.175</v>
      </c>
      <c r="AV107" s="4">
        <v>102.98</v>
      </c>
      <c r="AW107" s="4">
        <v>103.4</v>
      </c>
      <c r="AX107" s="4">
        <v>107.02</v>
      </c>
      <c r="AY107" s="12">
        <v>109.01</v>
      </c>
      <c r="AZ107" s="12">
        <v>115.38</v>
      </c>
      <c r="BA107" s="12">
        <v>113.89</v>
      </c>
      <c r="BB107" s="15">
        <v>116.21</v>
      </c>
      <c r="BC107" s="52">
        <v>116</v>
      </c>
      <c r="BD107" s="52">
        <v>117.06</v>
      </c>
      <c r="BE107" s="52">
        <v>117.38</v>
      </c>
      <c r="BF107" s="52">
        <v>114.96</v>
      </c>
      <c r="BG107" s="67">
        <v>115.11</v>
      </c>
      <c r="BH107" s="52">
        <v>115.65</v>
      </c>
      <c r="BI107" s="52">
        <v>115.05</v>
      </c>
      <c r="BJ107" s="52">
        <v>117.82</v>
      </c>
      <c r="BK107" s="52">
        <v>111.63</v>
      </c>
      <c r="BL107" s="52" cm="1">
        <f t="array" aca="1" ref="BL107" ca="1">_FV(EC107,"Preço")</f>
        <v>111.63</v>
      </c>
      <c r="BM107" s="69" t="s">
        <v>104</v>
      </c>
      <c r="BN107" s="36" cm="1">
        <f t="array" aca="1" ref="BN107" ca="1">_FV(EC107,"Média de volume",TRUE)</f>
        <v>2589860</v>
      </c>
      <c r="BO107" s="36">
        <v>1553100</v>
      </c>
      <c r="BP107" s="36" cm="1">
        <f t="array" aca="1" ref="BP107" ca="1">_FV(EC107,"Volume")</f>
        <v>1553100</v>
      </c>
      <c r="BQ107" s="24" cm="1">
        <f t="array" aca="1" ref="BQ107" ca="1">_FV(EC107,"Beta")</f>
        <v>0.87460000000000004</v>
      </c>
      <c r="BR107" s="71" cm="1">
        <f t="array" aca="1" ref="BR107" ca="1">_FV(EC107,"Variação (%)",TRUE)</f>
        <v>-3.3929999999999997E-3</v>
      </c>
      <c r="BT107" s="17" cm="1">
        <f t="array" aca="1" ref="BT107" ca="1">_FV(EC107,"Baixo")</f>
        <v>110.79</v>
      </c>
      <c r="BU107" s="17" cm="1">
        <f t="array" aca="1" ref="BU107" ca="1">_FV(EC107,"Alto")</f>
        <v>112.64</v>
      </c>
      <c r="BV107" s="24"/>
      <c r="BW107" s="63">
        <f ca="1">SQRT(22.5*(BL107/VLOOKUP(BM107,Fundamentus!A:U,3,FALSE))*(BL107/VLOOKUP(BM107,Fundamentus!A:U,4,FALSE)))</f>
        <v>133.44879089861334</v>
      </c>
      <c r="BY107" s="62">
        <f t="shared" ca="1" si="112"/>
        <v>0</v>
      </c>
      <c r="BZ107" s="8"/>
      <c r="CA107" s="61">
        <f t="shared" si="113"/>
        <v>73.86</v>
      </c>
      <c r="CB107" s="61">
        <f t="shared" si="114"/>
        <v>117.82</v>
      </c>
      <c r="CC107" s="61">
        <f t="shared" si="115"/>
        <v>95.344206349206374</v>
      </c>
      <c r="CD107" s="14"/>
      <c r="CE107" s="35">
        <f t="shared" si="98"/>
        <v>110.94533469631592</v>
      </c>
      <c r="CF107" s="15">
        <f t="shared" si="116"/>
        <v>114.57300000000032</v>
      </c>
      <c r="CG107" s="35">
        <f t="shared" si="99"/>
        <v>118.20066530368472</v>
      </c>
      <c r="CI107" s="14"/>
      <c r="CJ107" s="17">
        <f t="shared" si="100"/>
        <v>44.553333333333356</v>
      </c>
      <c r="CK107" s="17">
        <f t="shared" si="101"/>
        <v>59.206666666666678</v>
      </c>
      <c r="CL107" s="17">
        <f t="shared" si="102"/>
        <v>88.51333333333335</v>
      </c>
      <c r="CM107" s="38">
        <f t="shared" si="117"/>
        <v>103.16666666666667</v>
      </c>
      <c r="CN107" s="17">
        <f t="shared" si="103"/>
        <v>132.47333333333336</v>
      </c>
      <c r="CO107" s="17">
        <f t="shared" si="104"/>
        <v>147.12666666666667</v>
      </c>
      <c r="CP107" s="17">
        <f t="shared" si="105"/>
        <v>176.43333333333334</v>
      </c>
      <c r="CQ107" s="2" cm="1">
        <f t="array" aca="1" ref="CQ107" ca="1">MAX(_xlfn._xlws.FILTER(CJ107:CP107,CJ107:CP107&lt;BL107))</f>
        <v>103.16666666666667</v>
      </c>
      <c r="CR107" s="2" cm="1">
        <f t="array" aca="1" ref="CR107" ca="1">MIN(_xlfn._xlws.FILTER($CJ107:$CP107,$CJ107:$CP107&gt;BL107))</f>
        <v>132.47333333333336</v>
      </c>
      <c r="CS107" s="16">
        <f t="shared" ca="1" si="119"/>
        <v>0.28407108239095336</v>
      </c>
      <c r="CT107" s="20">
        <f t="shared" ca="1" si="120"/>
        <v>-0.14203554119547668</v>
      </c>
      <c r="CU107" s="20">
        <f t="shared" ca="1" si="121"/>
        <v>-9.4690360796984452E-2</v>
      </c>
      <c r="CV107" s="20">
        <f t="shared" ca="1" si="122"/>
        <v>-5.6814216478190668E-2</v>
      </c>
      <c r="CW107" s="20">
        <f t="shared" ca="1" si="123"/>
        <v>-3.1563453598994817E-2</v>
      </c>
      <c r="CX107" s="20">
        <f t="shared" ca="1" si="124"/>
        <v>-1.6710063670056081E-2</v>
      </c>
      <c r="CY107" s="20">
        <f t="shared" ca="1" si="125"/>
        <v>-8.6082146179076776E-3</v>
      </c>
      <c r="CZ107" s="20">
        <f t="shared" ca="1" si="126"/>
        <v>-4.3703243444762055E-3</v>
      </c>
      <c r="DA107" s="21">
        <f t="shared" ca="1" si="127"/>
        <v>4.3703243444762055E-3</v>
      </c>
      <c r="DB107" s="21">
        <f t="shared" ca="1" si="128"/>
        <v>8.6082146179076776E-3</v>
      </c>
      <c r="DC107" s="21">
        <f t="shared" ca="1" si="129"/>
        <v>1.6710063670056081E-2</v>
      </c>
      <c r="DD107" s="21">
        <f t="shared" ca="1" si="130"/>
        <v>3.1563453598994817E-2</v>
      </c>
      <c r="DE107" s="21">
        <f t="shared" ca="1" si="131"/>
        <v>5.6814216478190668E-2</v>
      </c>
      <c r="DF107" s="21">
        <f t="shared" ca="1" si="132"/>
        <v>9.4690360796984452E-2</v>
      </c>
      <c r="DG107" s="21">
        <f t="shared" ca="1" si="133"/>
        <v>0.14203554119547668</v>
      </c>
      <c r="DI107" s="16" cm="1">
        <f t="array" aca="1" ref="DI107" ca="1">MAX(_xlfn._xlws.FILTER(CT107:DG107,CT107:DG107&lt;BR107))</f>
        <v>-4.3703243444762055E-3</v>
      </c>
      <c r="DJ107" s="16" cm="1">
        <f t="array" aca="1" ref="DJ107" ca="1">MIN(_xlfn._xlws.FILTER(CT107:DG107,CT107:DG107&gt;BR107))</f>
        <v>4.3703243444762055E-3</v>
      </c>
      <c r="DK107" s="2" cm="1">
        <f t="array" aca="1" ref="DK107" ca="1">_FV(EC107,"Fechamento anterior",TRUE)</f>
        <v>112.01</v>
      </c>
      <c r="DL107" s="28">
        <f t="shared" ca="1" si="106"/>
        <v>0.11186470741960022</v>
      </c>
      <c r="DM107" s="15">
        <f t="shared" ca="1" si="134"/>
        <v>111.52047997017523</v>
      </c>
      <c r="DN107" s="15">
        <f t="shared" ca="1" si="135"/>
        <v>112.49952002982478</v>
      </c>
      <c r="DO107" s="9"/>
      <c r="DP107" s="9"/>
      <c r="DQ107" s="9"/>
      <c r="DR107" s="89">
        <v>7.6422182468694026E-3</v>
      </c>
      <c r="DS107" s="89">
        <v>4.1280693084185804E-3</v>
      </c>
      <c r="DT107" s="89">
        <v>8.7406486889524109E-3</v>
      </c>
      <c r="DU107" s="89">
        <v>8.7406486889524109E-3</v>
      </c>
      <c r="DV107" s="89">
        <f t="shared" ca="1" si="107"/>
        <v>8.7406486889524109E-3</v>
      </c>
      <c r="DW107" s="72">
        <f t="shared" ca="1" si="108"/>
        <v>-0.81126558092647127</v>
      </c>
      <c r="DX107" s="37"/>
      <c r="DY107" s="35">
        <f t="shared" si="118"/>
        <v>1.8138326518421948</v>
      </c>
      <c r="DZ107" s="56"/>
      <c r="EA107" s="56"/>
      <c r="EC107" s="2" t="e" vm="107">
        <v>#VALUE!</v>
      </c>
      <c r="EE107" s="10" cm="1">
        <f t="array" aca="1" ref="EE107" ca="1">_FV(EC107,"Ações em circulação",TRUE)</f>
        <v>683509900</v>
      </c>
      <c r="EF107" s="18">
        <f>VLOOKUP(BM107,Fundamentus!A:U,5,FALSE)</f>
        <v>2.0699999999999998</v>
      </c>
      <c r="EG107" s="2">
        <f t="shared" ca="1" si="109"/>
        <v>36860004897.101456</v>
      </c>
      <c r="EH107" s="17">
        <v>9930085319.2791309</v>
      </c>
      <c r="EI107" s="17">
        <f t="shared" ca="1" si="110"/>
        <v>9930085319.2791309</v>
      </c>
      <c r="EK107" s="16">
        <f t="shared" ca="1" si="97"/>
        <v>0</v>
      </c>
      <c r="EL107" s="32" t="str">
        <f>IF(VLOOKUP(BM107,Fundamentus!A:U,3,FALSE)&lt;15,"Bom",IF(VLOOKUP(BM107,Fundamentus!A:U,3,FALSE)&gt;15,"Ruim","n/a"))</f>
        <v>Bom</v>
      </c>
      <c r="EM107" s="28" t="str">
        <f>IF(VLOOKUP(BM107,Fundamentus!A:U,4,FALSE)&lt;1,"Baixo",IF(VLOOKUP(BM107,Fundamentus!A:U,4,FALSE)&lt;1.5,"Moderado",IF(VLOOKUP(BM107,Fundamentus!A:U,4,FALSE)&gt;1.5,"Alto","n/a")))</f>
        <v>Alto</v>
      </c>
      <c r="EN107" s="17" t="str">
        <f>IF(VLOOKUP(BM107,Fundamentus!A:U,8,FALSE)&lt;0,"Risco elevado",IF(VLOOKUP(BM107,Fundamentus!A:U,8,FALSE)&lt;1,"Saudável",IF(VLOOKUP(BM107,Fundamentus!A:U,8,FALSE)&lt;3,"Estável",IF(VLOOKUP(BM107,Fundamentus!A:U,8,FALSE)&gt;3,"Alerta","n/a"))))</f>
        <v>Alerta</v>
      </c>
      <c r="EO107" s="28" t="str">
        <f t="shared" si="111"/>
        <v>Bom</v>
      </c>
      <c r="EP107" s="17" t="str">
        <f>IF(VLOOKUP(BM107,Fundamentus!A:U,12,FALSE)&lt;2,"Subvalorizada",IF(VLOOKUP(BM107,Fundamentus!A:U,12,FALSE)&lt;6,"Muita barata",IF(VLOOKUP(BM107,Fundamentus!A:U,12,FALSE)&lt;6,"Barata",IF(VLOOKUP(BM107,Fundamentus!A:U,12,FALSE)&lt;8,"Atrativa",IF(VLOOKUP(BM107,Fundamentus!A:U,12,FALSE)&gt;8,"Supervalorizada","n/a")))))</f>
        <v>Muita barata</v>
      </c>
      <c r="ER107" s="17" t="str">
        <f>IF(VLOOKUP(BM107,Fundamentus!A:U,17,FALSE)&lt;0.1,"Fraco retorno",IF(VLOOKUP(BM107,Fundamentus!A:U,17,FALSE)&gt;0.1,"Bom retorno","n/a"))</f>
        <v>Bom retorno</v>
      </c>
      <c r="ES107" s="17" t="str">
        <f>IF(VLOOKUP(BM107,Fundamentus!A:U,16,FALSE)&lt;0.1,"Ineficiente",IF(VLOOKUP(BM107,Fundamentus!A:U,16,FALSE)&gt;0.1,"Eficiente","n/a"))</f>
        <v>Eficiente</v>
      </c>
      <c r="ET107" s="33" t="str">
        <f>IF(VLOOKUP(BM107,Fundamentus!A:U,16,FALSE)&lt;0.1,"Oper. Ineficiente",IF(VLOOKUP(BM107,Fundamentus!A:U,16,FALSE)&gt;0.1,"Oper.Eficiente","n/a"))</f>
        <v>Oper.Eficiente</v>
      </c>
      <c r="EU107" s="34">
        <f>VLOOKUP(BM107,Fundamentus!A:U,14,FALSE)</f>
        <v>0.26939999999999997</v>
      </c>
      <c r="EV107" s="17" t="str">
        <f>IF(VLOOKUP(BM107,Fundamentus!A:U,21,FALSE)&lt;0,"Negativo",IF(VLOOKUP(BM107,Fundamentus!A:U,21,FALSE)&lt;0.05,"Fraco",IF(VLOOKUP(BM107,Fundamentus!A:U,21,FALSE)&lt;0.1,"Bom",IF(VLOOKUP(BM107,Fundamentus!A:U,21,FALSE)&gt;0.1,"Muito bom","n/a"))))</f>
        <v>Muito bom</v>
      </c>
      <c r="EX107" s="29" t="str">
        <f>IF(VLOOKUP(BM107,Fundamentus!A:U,15,FALSE)&gt;1,"Bom",IF(VLOOKUP(BM107,Fundamentus!A:U,15,FALSE)&lt;1,"Ruim","n/a"))</f>
        <v>Bom</v>
      </c>
      <c r="EY107" s="17" t="str">
        <f>IF(VLOOKUP(BM107,Fundamentus!A:U,20,FALSE)&lt;0.5,"Baixa",IF(VLOOKUP(BM107,Fundamentus!A:U,20,FALSE)&lt;1,"Moderada",IF(VLOOKUP(BM107,Fundamentus!A:U,20,FALSE)&lt;2,"Alerta",IF(VLOOKUP(BM107,Fundamentus!A:U,20,FALSE)&gt;2,"Alta","n/a"))))</f>
        <v>Moderada</v>
      </c>
      <c r="EZ107" s="10"/>
    </row>
    <row r="108" spans="1:156" s="2" customFormat="1" ht="11.25" x14ac:dyDescent="0.2">
      <c r="A108" s="4">
        <v>18.149999999999999</v>
      </c>
      <c r="B108" s="4">
        <v>18.8</v>
      </c>
      <c r="C108" s="4">
        <v>17.2</v>
      </c>
      <c r="D108" s="4">
        <v>16.53</v>
      </c>
      <c r="E108" s="4">
        <v>16.329999999999998</v>
      </c>
      <c r="F108" s="4">
        <v>15</v>
      </c>
      <c r="G108" s="4">
        <v>14.59</v>
      </c>
      <c r="H108" s="4">
        <v>14.39</v>
      </c>
      <c r="I108" s="4">
        <v>14.8</v>
      </c>
      <c r="J108" s="4">
        <v>15.12</v>
      </c>
      <c r="K108" s="4">
        <v>15.51</v>
      </c>
      <c r="L108" s="4">
        <v>15.39</v>
      </c>
      <c r="M108" s="4">
        <v>15.27</v>
      </c>
      <c r="N108" s="4">
        <v>14.9</v>
      </c>
      <c r="O108" s="4">
        <v>13.92</v>
      </c>
      <c r="P108" s="4">
        <v>13.71</v>
      </c>
      <c r="Q108" s="4">
        <v>13.33</v>
      </c>
      <c r="R108" s="4">
        <v>12.85</v>
      </c>
      <c r="S108" s="4">
        <v>12.6</v>
      </c>
      <c r="T108" s="4">
        <v>12.85</v>
      </c>
      <c r="U108" s="4">
        <v>12.02</v>
      </c>
      <c r="V108" s="4">
        <v>12</v>
      </c>
      <c r="W108" s="4">
        <v>11.98</v>
      </c>
      <c r="X108" s="4">
        <v>12.25</v>
      </c>
      <c r="Y108" s="4">
        <v>11.78</v>
      </c>
      <c r="Z108" s="4">
        <v>12.14</v>
      </c>
      <c r="AA108" s="4">
        <v>12.21</v>
      </c>
      <c r="AB108" s="4">
        <v>12.27</v>
      </c>
      <c r="AC108" s="4">
        <v>11.63</v>
      </c>
      <c r="AD108" s="4">
        <v>11.75</v>
      </c>
      <c r="AE108" s="4">
        <v>11.24</v>
      </c>
      <c r="AF108" s="4">
        <v>10.68</v>
      </c>
      <c r="AG108" s="4">
        <v>10.48</v>
      </c>
      <c r="AH108" s="4">
        <v>10.41</v>
      </c>
      <c r="AI108" s="4">
        <v>10.199999999999999</v>
      </c>
      <c r="AJ108" s="4">
        <v>9.8699999999999992</v>
      </c>
      <c r="AK108" s="4">
        <v>10.35</v>
      </c>
      <c r="AL108" s="4">
        <v>10.199999999999999</v>
      </c>
      <c r="AM108" s="4">
        <v>10.15</v>
      </c>
      <c r="AN108" s="4">
        <v>10.77</v>
      </c>
      <c r="AO108" s="4">
        <v>10.06</v>
      </c>
      <c r="AP108" s="4">
        <v>10.99</v>
      </c>
      <c r="AQ108" s="4">
        <v>10.56</v>
      </c>
      <c r="AR108" s="4">
        <v>10.029999999999999</v>
      </c>
      <c r="AS108" s="4">
        <v>10.5</v>
      </c>
      <c r="AT108" s="4">
        <v>10.32</v>
      </c>
      <c r="AU108" s="4">
        <v>10.715</v>
      </c>
      <c r="AV108" s="4">
        <v>10.55</v>
      </c>
      <c r="AW108" s="4">
        <v>10.18</v>
      </c>
      <c r="AX108" s="4">
        <v>9.9499999999999993</v>
      </c>
      <c r="AY108" s="12">
        <v>10.45</v>
      </c>
      <c r="AZ108" s="12">
        <v>10.69</v>
      </c>
      <c r="BA108" s="12">
        <v>10.33</v>
      </c>
      <c r="BB108" s="15">
        <v>10.29</v>
      </c>
      <c r="BC108" s="52">
        <v>12.05</v>
      </c>
      <c r="BD108" s="52">
        <v>11.7</v>
      </c>
      <c r="BE108" s="52">
        <v>11.2</v>
      </c>
      <c r="BF108" s="52">
        <v>11.33</v>
      </c>
      <c r="BG108" s="67">
        <v>11.42</v>
      </c>
      <c r="BH108" s="52">
        <v>11.53</v>
      </c>
      <c r="BI108" s="52">
        <v>11.42</v>
      </c>
      <c r="BJ108" s="52">
        <v>11.57</v>
      </c>
      <c r="BK108" s="52">
        <v>11.17</v>
      </c>
      <c r="BL108" s="52" cm="1">
        <f t="array" aca="1" ref="BL108" ca="1">_FV(EC108,"Preço")</f>
        <v>11.17</v>
      </c>
      <c r="BM108" s="69" t="s">
        <v>105</v>
      </c>
      <c r="BN108" s="36" cm="1">
        <f t="array" aca="1" ref="BN108" ca="1">_FV(EC108,"Média de volume",TRUE)</f>
        <v>370750</v>
      </c>
      <c r="BO108" s="36">
        <v>302300</v>
      </c>
      <c r="BP108" s="36" cm="1">
        <f t="array" aca="1" ref="BP108" ca="1">_FV(EC108,"Volume")</f>
        <v>302300</v>
      </c>
      <c r="BQ108" s="24" cm="1">
        <f t="array" aca="1" ref="BQ108" ca="1">_FV(EC108,"Beta")</f>
        <v>0.63009999999999999</v>
      </c>
      <c r="BR108" s="71" cm="1">
        <f t="array" aca="1" ref="BR108" ca="1">_FV(EC108,"Variação (%)",TRUE)</f>
        <v>1.0860000000000002E-2</v>
      </c>
      <c r="BT108" s="17" cm="1">
        <f t="array" aca="1" ref="BT108" ca="1">_FV(EC108,"Baixo")</f>
        <v>10.83</v>
      </c>
      <c r="BU108" s="17" cm="1">
        <f t="array" aca="1" ref="BU108" ca="1">_FV(EC108,"Alto")</f>
        <v>11.17</v>
      </c>
      <c r="BV108" s="24"/>
      <c r="BW108" s="63">
        <f ca="1">SQRT(22.5*(BL108/VLOOKUP(BM108,Fundamentus!A:U,3,FALSE))*(BL108/VLOOKUP(BM108,Fundamentus!A:U,4,FALSE)))</f>
        <v>12.569884007399455</v>
      </c>
      <c r="BY108" s="62">
        <f t="shared" ca="1" si="112"/>
        <v>0</v>
      </c>
      <c r="BZ108" s="8"/>
      <c r="CA108" s="61">
        <f t="shared" si="113"/>
        <v>9.8699999999999992</v>
      </c>
      <c r="CB108" s="61">
        <f t="shared" si="114"/>
        <v>18.8</v>
      </c>
      <c r="CC108" s="61">
        <f t="shared" si="115"/>
        <v>12.295634920634921</v>
      </c>
      <c r="CD108" s="14"/>
      <c r="CE108" s="35">
        <f t="shared" si="98"/>
        <v>11.112519028728382</v>
      </c>
      <c r="CF108" s="15">
        <f t="shared" si="116"/>
        <v>11.375999999999976</v>
      </c>
      <c r="CG108" s="35">
        <f t="shared" si="99"/>
        <v>11.639480971271571</v>
      </c>
      <c r="CI108" s="14"/>
      <c r="CJ108" s="17">
        <f t="shared" si="100"/>
        <v>-0.90333333333333421</v>
      </c>
      <c r="CK108" s="17">
        <f t="shared" si="101"/>
        <v>4.4833333333333325</v>
      </c>
      <c r="CL108" s="17">
        <f t="shared" si="102"/>
        <v>8.0266666666666673</v>
      </c>
      <c r="CM108" s="38">
        <f t="shared" si="117"/>
        <v>13.413333333333334</v>
      </c>
      <c r="CN108" s="17">
        <f t="shared" si="103"/>
        <v>16.956666666666671</v>
      </c>
      <c r="CO108" s="17">
        <f t="shared" si="104"/>
        <v>22.343333333333334</v>
      </c>
      <c r="CP108" s="17">
        <f t="shared" si="105"/>
        <v>25.88666666666667</v>
      </c>
      <c r="CQ108" s="2" cm="1">
        <f t="array" aca="1" ref="CQ108" ca="1">MAX(_xlfn._xlws.FILTER(CJ108:CP108,CJ108:CP108&lt;BL108))</f>
        <v>8.0266666666666673</v>
      </c>
      <c r="CR108" s="2" cm="1">
        <f t="array" aca="1" ref="CR108" ca="1">MIN(_xlfn._xlws.FILTER($CJ108:$CP108,$CJ108:$CP108&gt;BL108))</f>
        <v>13.413333333333334</v>
      </c>
      <c r="CS108" s="16">
        <f t="shared" ca="1" si="119"/>
        <v>0.67109634551495012</v>
      </c>
      <c r="CT108" s="20">
        <f t="shared" ca="1" si="120"/>
        <v>-0.33554817275747506</v>
      </c>
      <c r="CU108" s="20">
        <f t="shared" ca="1" si="121"/>
        <v>-0.22369878183831671</v>
      </c>
      <c r="CV108" s="20">
        <f t="shared" ca="1" si="122"/>
        <v>-0.13421926910299004</v>
      </c>
      <c r="CW108" s="20">
        <f t="shared" ca="1" si="123"/>
        <v>-7.4566260612772231E-2</v>
      </c>
      <c r="CX108" s="20">
        <f t="shared" ca="1" si="124"/>
        <v>-3.9476255618526475E-2</v>
      </c>
      <c r="CY108" s="20">
        <f t="shared" ca="1" si="125"/>
        <v>-2.0336252894392427E-2</v>
      </c>
      <c r="CZ108" s="20">
        <f t="shared" ca="1" si="126"/>
        <v>-1.0324559161768464E-2</v>
      </c>
      <c r="DA108" s="21">
        <f t="shared" ca="1" si="127"/>
        <v>1.0324559161768464E-2</v>
      </c>
      <c r="DB108" s="21">
        <f t="shared" ca="1" si="128"/>
        <v>2.0336252894392427E-2</v>
      </c>
      <c r="DC108" s="21">
        <f t="shared" ca="1" si="129"/>
        <v>3.9476255618526475E-2</v>
      </c>
      <c r="DD108" s="21">
        <f t="shared" ca="1" si="130"/>
        <v>7.4566260612772231E-2</v>
      </c>
      <c r="DE108" s="21">
        <f t="shared" ca="1" si="131"/>
        <v>0.13421926910299004</v>
      </c>
      <c r="DF108" s="21">
        <f t="shared" ca="1" si="132"/>
        <v>0.22369878183831671</v>
      </c>
      <c r="DG108" s="21">
        <f t="shared" ca="1" si="133"/>
        <v>0.33554817275747506</v>
      </c>
      <c r="DI108" s="16" cm="1">
        <f t="array" aca="1" ref="DI108" ca="1">MAX(_xlfn._xlws.FILTER(CT108:DG108,CT108:DG108&lt;BR108))</f>
        <v>1.0324559161768464E-2</v>
      </c>
      <c r="DJ108" s="16" cm="1">
        <f t="array" aca="1" ref="DJ108" ca="1">MIN(_xlfn._xlws.FILTER(CT108:DG108,CT108:DG108&gt;BR108))</f>
        <v>2.0336252894392427E-2</v>
      </c>
      <c r="DK108" s="2" cm="1">
        <f t="array" aca="1" ref="DK108" ca="1">_FV(EC108,"Fechamento anterior",TRUE)</f>
        <v>11.05</v>
      </c>
      <c r="DL108" s="28">
        <f t="shared" ca="1" si="106"/>
        <v>5.3454426324980632E-2</v>
      </c>
      <c r="DM108" s="15">
        <f t="shared" ca="1" si="134"/>
        <v>11.164086378737542</v>
      </c>
      <c r="DN108" s="15">
        <f t="shared" ca="1" si="135"/>
        <v>11.274715594483038</v>
      </c>
      <c r="DO108" s="9"/>
      <c r="DP108" s="9"/>
      <c r="DQ108" s="9"/>
      <c r="DR108" s="89">
        <v>2.6437267176158848E-2</v>
      </c>
      <c r="DS108" s="89">
        <v>2.1103707058290733E-2</v>
      </c>
      <c r="DT108" s="89">
        <v>2.0649118323536927E-2</v>
      </c>
      <c r="DU108" s="89">
        <v>1.0011693732623964E-2</v>
      </c>
      <c r="DV108" s="89">
        <f t="shared" ca="1" si="107"/>
        <v>1.0011693732623964E-2</v>
      </c>
      <c r="DW108" s="72">
        <f t="shared" ca="1" si="108"/>
        <v>-0.78184014202541097</v>
      </c>
      <c r="DX108" s="37"/>
      <c r="DY108" s="35">
        <f t="shared" si="118"/>
        <v>0.13174048563579666</v>
      </c>
      <c r="DZ108" s="56"/>
      <c r="EA108" s="56"/>
      <c r="EC108" s="2" t="e" vm="108">
        <v>#VALUE!</v>
      </c>
      <c r="EE108" s="10" cm="1">
        <f t="array" aca="1" ref="EE108" ca="1">_FV(EC108,"Ações em circulação",TRUE)</f>
        <v>135322100</v>
      </c>
      <c r="EF108" s="18">
        <f>VLOOKUP(BM108,Fundamentus!A:U,5,FALSE)</f>
        <v>0.81200000000000006</v>
      </c>
      <c r="EG108" s="2">
        <f t="shared" ca="1" si="109"/>
        <v>1861512139.1625614</v>
      </c>
      <c r="EH108" s="17">
        <v>165488429.17155173</v>
      </c>
      <c r="EI108" s="17">
        <f t="shared" ca="1" si="110"/>
        <v>165488429.17155173</v>
      </c>
      <c r="EK108" s="16">
        <f t="shared" ca="1" si="97"/>
        <v>0</v>
      </c>
      <c r="EL108" s="32" t="str">
        <f>IF(VLOOKUP(BM108,Fundamentus!A:U,3,FALSE)&lt;15,"Bom",IF(VLOOKUP(BM108,Fundamentus!A:U,3,FALSE)&gt;15,"Ruim","n/a"))</f>
        <v>Ruim</v>
      </c>
      <c r="EM108" s="28" t="str">
        <f>IF(VLOOKUP(BM108,Fundamentus!A:U,4,FALSE)&lt;1,"Baixo",IF(VLOOKUP(BM108,Fundamentus!A:U,4,FALSE)&lt;1.5,"Moderado",IF(VLOOKUP(BM108,Fundamentus!A:U,4,FALSE)&gt;1.5,"Alto","n/a")))</f>
        <v>Moderado</v>
      </c>
      <c r="EN108" s="17" t="str">
        <f>IF(VLOOKUP(BM108,Fundamentus!A:U,8,FALSE)&lt;0,"Risco elevado",IF(VLOOKUP(BM108,Fundamentus!A:U,8,FALSE)&lt;1,"Saudável",IF(VLOOKUP(BM108,Fundamentus!A:U,8,FALSE)&lt;3,"Estável",IF(VLOOKUP(BM108,Fundamentus!A:U,8,FALSE)&gt;3,"Alerta","n/a"))))</f>
        <v>Saudável</v>
      </c>
      <c r="EO108" s="28" t="str">
        <f t="shared" si="111"/>
        <v>Ruim</v>
      </c>
      <c r="EP108" s="17" t="str">
        <f>IF(VLOOKUP(BM108,Fundamentus!A:U,12,FALSE)&lt;2,"Subvalorizada",IF(VLOOKUP(BM108,Fundamentus!A:U,12,FALSE)&lt;6,"Muita barata",IF(VLOOKUP(BM108,Fundamentus!A:U,12,FALSE)&lt;6,"Barata",IF(VLOOKUP(BM108,Fundamentus!A:U,12,FALSE)&lt;8,"Atrativa",IF(VLOOKUP(BM108,Fundamentus!A:U,12,FALSE)&gt;8,"Supervalorizada","n/a")))))</f>
        <v>Supervalorizada</v>
      </c>
      <c r="ER108" s="17" t="str">
        <f>IF(VLOOKUP(BM108,Fundamentus!A:U,17,FALSE)&lt;0.1,"Fraco retorno",IF(VLOOKUP(BM108,Fundamentus!A:U,17,FALSE)&gt;0.1,"Bom retorno","n/a"))</f>
        <v>Fraco retorno</v>
      </c>
      <c r="ES108" s="17" t="str">
        <f>IF(VLOOKUP(BM108,Fundamentus!A:U,16,FALSE)&lt;0.1,"Ineficiente",IF(VLOOKUP(BM108,Fundamentus!A:U,16,FALSE)&gt;0.1,"Eficiente","n/a"))</f>
        <v>Ineficiente</v>
      </c>
      <c r="ET108" s="33" t="str">
        <f>IF(VLOOKUP(BM108,Fundamentus!A:U,16,FALSE)&lt;0.1,"Oper. Ineficiente",IF(VLOOKUP(BM108,Fundamentus!A:U,16,FALSE)&gt;0.1,"Oper.Eficiente","n/a"))</f>
        <v>Oper. Ineficiente</v>
      </c>
      <c r="EU108" s="34">
        <f>VLOOKUP(BM108,Fundamentus!A:U,14,FALSE)</f>
        <v>8.8900000000000007E-2</v>
      </c>
      <c r="EV108" s="17" t="str">
        <f>IF(VLOOKUP(BM108,Fundamentus!A:U,21,FALSE)&lt;0,"Negativo",IF(VLOOKUP(BM108,Fundamentus!A:U,21,FALSE)&lt;0.05,"Fraco",IF(VLOOKUP(BM108,Fundamentus!A:U,21,FALSE)&lt;0.1,"Bom",IF(VLOOKUP(BM108,Fundamentus!A:U,21,FALSE)&gt;0.1,"Muito bom","n/a"))))</f>
        <v>Muito bom</v>
      </c>
      <c r="EX108" s="29" t="str">
        <f>IF(VLOOKUP(BM108,Fundamentus!A:U,15,FALSE)&gt;1,"Bom",IF(VLOOKUP(BM108,Fundamentus!A:U,15,FALSE)&lt;1,"Ruim","n/a"))</f>
        <v>Bom</v>
      </c>
      <c r="EY108" s="17" t="str">
        <f>IF(VLOOKUP(BM108,Fundamentus!A:U,20,FALSE)&lt;0.5,"Baixa",IF(VLOOKUP(BM108,Fundamentus!A:U,20,FALSE)&lt;1,"Moderada",IF(VLOOKUP(BM108,Fundamentus!A:U,20,FALSE)&lt;2,"Alerta",IF(VLOOKUP(BM108,Fundamentus!A:U,20,FALSE)&gt;2,"Alta","n/a"))))</f>
        <v>Moderada</v>
      </c>
      <c r="EZ108" s="10"/>
    </row>
    <row r="109" spans="1:156" s="2" customFormat="1" ht="11.25" x14ac:dyDescent="0.2">
      <c r="A109" s="4">
        <v>7.6</v>
      </c>
      <c r="B109" s="4">
        <v>7.26</v>
      </c>
      <c r="C109" s="4">
        <v>7.14</v>
      </c>
      <c r="D109" s="4">
        <v>7.1</v>
      </c>
      <c r="E109" s="4">
        <v>6.97</v>
      </c>
      <c r="F109" s="4">
        <v>6.49</v>
      </c>
      <c r="G109" s="4">
        <v>6</v>
      </c>
      <c r="H109" s="4">
        <v>6.04</v>
      </c>
      <c r="I109" s="4">
        <v>5.95</v>
      </c>
      <c r="J109" s="4">
        <v>6.15</v>
      </c>
      <c r="K109" s="4">
        <v>6.27</v>
      </c>
      <c r="L109" s="4">
        <v>6.4</v>
      </c>
      <c r="M109" s="4">
        <v>6.66</v>
      </c>
      <c r="N109" s="4">
        <v>6.47</v>
      </c>
      <c r="O109" s="4">
        <v>6.41</v>
      </c>
      <c r="P109" s="4">
        <v>6.02</v>
      </c>
      <c r="Q109" s="4">
        <v>6.2</v>
      </c>
      <c r="R109" s="4">
        <v>7.26</v>
      </c>
      <c r="S109" s="4">
        <v>7.45</v>
      </c>
      <c r="T109" s="4">
        <v>7.35</v>
      </c>
      <c r="U109" s="4">
        <v>7.08</v>
      </c>
      <c r="V109" s="4">
        <v>6.66</v>
      </c>
      <c r="W109" s="4">
        <v>6.56</v>
      </c>
      <c r="X109" s="4">
        <v>6.54</v>
      </c>
      <c r="Y109" s="4">
        <v>6.5</v>
      </c>
      <c r="Z109" s="4">
        <v>6.35</v>
      </c>
      <c r="AA109" s="4">
        <v>6.29</v>
      </c>
      <c r="AB109" s="4">
        <v>6.8</v>
      </c>
      <c r="AC109" s="4">
        <v>6.32</v>
      </c>
      <c r="AD109" s="4">
        <v>6.49</v>
      </c>
      <c r="AE109" s="4">
        <v>6.18</v>
      </c>
      <c r="AF109" s="4">
        <v>6.1</v>
      </c>
      <c r="AG109" s="4">
        <v>6</v>
      </c>
      <c r="AH109" s="4">
        <v>5.7</v>
      </c>
      <c r="AI109" s="4">
        <v>5.96</v>
      </c>
      <c r="AJ109" s="4">
        <v>5.63</v>
      </c>
      <c r="AK109" s="4">
        <v>5.76</v>
      </c>
      <c r="AL109" s="4">
        <v>5.79</v>
      </c>
      <c r="AM109" s="4">
        <v>5.61</v>
      </c>
      <c r="AN109" s="4">
        <v>6.63</v>
      </c>
      <c r="AO109" s="4">
        <v>6.97</v>
      </c>
      <c r="AP109" s="4">
        <v>6.9</v>
      </c>
      <c r="AQ109" s="4">
        <v>7.4</v>
      </c>
      <c r="AR109" s="4">
        <v>7.39</v>
      </c>
      <c r="AS109" s="4">
        <v>7.5</v>
      </c>
      <c r="AT109" s="4">
        <v>7.43</v>
      </c>
      <c r="AU109" s="4">
        <v>7.4849999999999994</v>
      </c>
      <c r="AV109" s="4">
        <v>7.88</v>
      </c>
      <c r="AW109" s="4">
        <v>7.6</v>
      </c>
      <c r="AX109" s="4">
        <v>7</v>
      </c>
      <c r="AY109" s="12">
        <v>6.45</v>
      </c>
      <c r="AZ109" s="12">
        <v>6.07</v>
      </c>
      <c r="BA109" s="12">
        <v>5.7</v>
      </c>
      <c r="BB109" s="15">
        <v>5.3</v>
      </c>
      <c r="BC109" s="52">
        <v>5.04</v>
      </c>
      <c r="BD109" s="52">
        <v>4.74</v>
      </c>
      <c r="BE109" s="52">
        <v>4.66</v>
      </c>
      <c r="BF109" s="52">
        <v>4.57</v>
      </c>
      <c r="BG109" s="67">
        <v>4.88</v>
      </c>
      <c r="BH109" s="52">
        <v>4.9000000000000004</v>
      </c>
      <c r="BI109" s="52">
        <v>4.7300000000000004</v>
      </c>
      <c r="BJ109" s="52">
        <v>5.05</v>
      </c>
      <c r="BK109" s="52">
        <v>4.76</v>
      </c>
      <c r="BL109" s="52" cm="1">
        <f t="array" aca="1" ref="BL109" ca="1">_FV(EC109,"Preço")</f>
        <v>4.76</v>
      </c>
      <c r="BM109" s="69" t="s">
        <v>106</v>
      </c>
      <c r="BN109" s="36" cm="1">
        <f t="array" aca="1" ref="BN109" ca="1">_FV(EC109,"Média de volume",TRUE)</f>
        <v>3220</v>
      </c>
      <c r="BO109" s="36">
        <v>4900</v>
      </c>
      <c r="BP109" s="36" cm="1">
        <f t="array" aca="1" ref="BP109" ca="1">_FV(EC109,"Volume")</f>
        <v>4900</v>
      </c>
      <c r="BQ109" s="24" cm="1">
        <f t="array" aca="1" ref="BQ109" ca="1">_FV(EC109,"Beta")</f>
        <v>0.36420000000000002</v>
      </c>
      <c r="BR109" s="71" cm="1">
        <f t="array" aca="1" ref="BR109" ca="1">_FV(EC109,"Variação (%)",TRUE)</f>
        <v>-1.2447999999999999E-2</v>
      </c>
      <c r="BT109" s="17" cm="1">
        <f t="array" aca="1" ref="BT109" ca="1">_FV(EC109,"Baixo")</f>
        <v>4.75</v>
      </c>
      <c r="BU109" s="17" cm="1">
        <f t="array" aca="1" ref="BU109" ca="1">_FV(EC109,"Alto")</f>
        <v>4.8600000000000003</v>
      </c>
      <c r="BV109" s="24"/>
      <c r="BW109" s="63">
        <f ca="1">SQRT(22.5*(BL109/VLOOKUP(BM109,Fundamentus!A:U,3,FALSE))*(BL109/VLOOKUP(BM109,Fundamentus!A:U,4,FALSE)))</f>
        <v>12.57791012995953</v>
      </c>
      <c r="BY109" s="62">
        <f t="shared" ca="1" si="112"/>
        <v>0</v>
      </c>
      <c r="BZ109" s="8"/>
      <c r="CA109" s="61">
        <f t="shared" si="113"/>
        <v>4.57</v>
      </c>
      <c r="CB109" s="61">
        <f t="shared" si="114"/>
        <v>7.88</v>
      </c>
      <c r="CC109" s="61">
        <f t="shared" si="115"/>
        <v>6.3261111111111115</v>
      </c>
      <c r="CD109" s="14"/>
      <c r="CE109" s="35">
        <f t="shared" si="98"/>
        <v>4.5528411014052415</v>
      </c>
      <c r="CF109" s="15">
        <f t="shared" si="116"/>
        <v>4.855000000000004</v>
      </c>
      <c r="CG109" s="35">
        <f t="shared" si="99"/>
        <v>5.1571588985947665</v>
      </c>
      <c r="CI109" s="14"/>
      <c r="CJ109" s="17">
        <f t="shared" si="100"/>
        <v>0.47666666666666657</v>
      </c>
      <c r="CK109" s="17">
        <f t="shared" si="101"/>
        <v>2.5233333333333334</v>
      </c>
      <c r="CL109" s="17">
        <f t="shared" si="102"/>
        <v>3.7866666666666662</v>
      </c>
      <c r="CM109" s="38">
        <f t="shared" si="117"/>
        <v>5.833333333333333</v>
      </c>
      <c r="CN109" s="17">
        <f t="shared" si="103"/>
        <v>7.0966666666666658</v>
      </c>
      <c r="CO109" s="17">
        <f t="shared" si="104"/>
        <v>9.1433333333333326</v>
      </c>
      <c r="CP109" s="17">
        <f t="shared" si="105"/>
        <v>10.406666666666666</v>
      </c>
      <c r="CQ109" s="2" cm="1">
        <f t="array" aca="1" ref="CQ109" ca="1">MAX(_xlfn._xlws.FILTER(CJ109:CP109,CJ109:CP109&lt;BL109))</f>
        <v>3.7866666666666662</v>
      </c>
      <c r="CR109" s="2" cm="1">
        <f t="array" aca="1" ref="CR109" ca="1">MIN(_xlfn._xlws.FILTER($CJ109:$CP109,$CJ109:$CP109&gt;BL109))</f>
        <v>5.833333333333333</v>
      </c>
      <c r="CS109" s="16">
        <f t="shared" ca="1" si="119"/>
        <v>0.54049295774647899</v>
      </c>
      <c r="CT109" s="20">
        <f t="shared" ca="1" si="120"/>
        <v>-0.27024647887323949</v>
      </c>
      <c r="CU109" s="20">
        <f t="shared" ca="1" si="121"/>
        <v>-0.18016431924882634</v>
      </c>
      <c r="CV109" s="20">
        <f t="shared" ca="1" si="122"/>
        <v>-0.1080985915492958</v>
      </c>
      <c r="CW109" s="20">
        <f t="shared" ca="1" si="123"/>
        <v>-6.005477308294211E-2</v>
      </c>
      <c r="CX109" s="20">
        <f t="shared" ca="1" si="124"/>
        <v>-3.1793703396851704E-2</v>
      </c>
      <c r="CY109" s="20">
        <f t="shared" ca="1" si="125"/>
        <v>-1.6378574477166029E-2</v>
      </c>
      <c r="CZ109" s="20">
        <f t="shared" ca="1" si="126"/>
        <v>-8.3152762730227536E-3</v>
      </c>
      <c r="DA109" s="21">
        <f t="shared" ca="1" si="127"/>
        <v>8.3152762730227536E-3</v>
      </c>
      <c r="DB109" s="21">
        <f t="shared" ca="1" si="128"/>
        <v>1.6378574477166029E-2</v>
      </c>
      <c r="DC109" s="21">
        <f t="shared" ca="1" si="129"/>
        <v>3.1793703396851704E-2</v>
      </c>
      <c r="DD109" s="21">
        <f t="shared" ca="1" si="130"/>
        <v>6.005477308294211E-2</v>
      </c>
      <c r="DE109" s="21">
        <f t="shared" ca="1" si="131"/>
        <v>0.1080985915492958</v>
      </c>
      <c r="DF109" s="21">
        <f t="shared" ca="1" si="132"/>
        <v>0.18016431924882634</v>
      </c>
      <c r="DG109" s="21">
        <f t="shared" ca="1" si="133"/>
        <v>0.27024647887323949</v>
      </c>
      <c r="DI109" s="16" cm="1">
        <f t="array" aca="1" ref="DI109" ca="1">MAX(_xlfn._xlws.FILTER(CT109:DG109,CT109:DG109&lt;BR109))</f>
        <v>-1.6378574477166029E-2</v>
      </c>
      <c r="DJ109" s="16" cm="1">
        <f t="array" aca="1" ref="DJ109" ca="1">MIN(_xlfn._xlws.FILTER(CT109:DG109,CT109:DG109&gt;BR109))</f>
        <v>-8.3152762730227536E-3</v>
      </c>
      <c r="DK109" s="2" cm="1">
        <f t="array" aca="1" ref="DK109" ca="1">_FV(EC109,"Fechamento anterior",TRUE)</f>
        <v>4.82</v>
      </c>
      <c r="DL109" s="28">
        <f t="shared" ca="1" si="106"/>
        <v>0.48744838620297049</v>
      </c>
      <c r="DM109" s="15">
        <f t="shared" ca="1" si="134"/>
        <v>4.74105527102006</v>
      </c>
      <c r="DN109" s="15">
        <f t="shared" ca="1" si="135"/>
        <v>4.7799203683640306</v>
      </c>
      <c r="DO109" s="9"/>
      <c r="DP109" s="9"/>
      <c r="DQ109" s="9"/>
      <c r="DR109" s="89">
        <v>1.7867585410017393E-2</v>
      </c>
      <c r="DS109" s="89">
        <v>1.761831634789893E-2</v>
      </c>
      <c r="DT109" s="89">
        <v>8.0632982041432752E-3</v>
      </c>
      <c r="DU109" s="89">
        <v>8.0632982041432752E-3</v>
      </c>
      <c r="DV109" s="89">
        <f t="shared" ca="1" si="107"/>
        <v>8.0632982041432752E-3</v>
      </c>
      <c r="DW109" s="72">
        <f t="shared" ca="1" si="108"/>
        <v>-0.31440411135272411</v>
      </c>
      <c r="DX109" s="37"/>
      <c r="DY109" s="35">
        <f t="shared" si="118"/>
        <v>0.15107944929738115</v>
      </c>
      <c r="DZ109" s="56"/>
      <c r="EA109" s="56"/>
      <c r="EC109" s="2" t="e" vm="109">
        <v>#VALUE!</v>
      </c>
      <c r="EE109" s="10" cm="1">
        <f t="array" aca="1" ref="EE109" ca="1">_FV(EC109,"Ações em circulação",TRUE)</f>
        <v>48046490</v>
      </c>
      <c r="EF109" s="18">
        <f>VLOOKUP(BM109,Fundamentus!A:U,5,FALSE)</f>
        <v>0.28499999999999998</v>
      </c>
      <c r="EG109" s="2">
        <f t="shared" ca="1" si="109"/>
        <v>802460675.08771932</v>
      </c>
      <c r="EH109" s="17">
        <v>57857414.673824564</v>
      </c>
      <c r="EI109" s="17">
        <f t="shared" ca="1" si="110"/>
        <v>57857414.673824564</v>
      </c>
      <c r="EK109" s="16">
        <f t="shared" ca="1" si="97"/>
        <v>0</v>
      </c>
      <c r="EL109" s="32" t="str">
        <f>IF(VLOOKUP(BM109,Fundamentus!A:U,3,FALSE)&lt;15,"Bom",IF(VLOOKUP(BM109,Fundamentus!A:U,3,FALSE)&gt;15,"Ruim","n/a"))</f>
        <v>Bom</v>
      </c>
      <c r="EM109" s="28" t="str">
        <f>IF(VLOOKUP(BM109,Fundamentus!A:U,4,FALSE)&lt;1,"Baixo",IF(VLOOKUP(BM109,Fundamentus!A:U,4,FALSE)&lt;1.5,"Moderado",IF(VLOOKUP(BM109,Fundamentus!A:U,4,FALSE)&gt;1.5,"Alto","n/a")))</f>
        <v>Baixo</v>
      </c>
      <c r="EN109" s="17" t="str">
        <f>IF(VLOOKUP(BM109,Fundamentus!A:U,8,FALSE)&lt;0,"Risco elevado",IF(VLOOKUP(BM109,Fundamentus!A:U,8,FALSE)&lt;1,"Saudável",IF(VLOOKUP(BM109,Fundamentus!A:U,8,FALSE)&lt;3,"Estável",IF(VLOOKUP(BM109,Fundamentus!A:U,8,FALSE)&gt;3,"Alerta","n/a"))))</f>
        <v>Saudável</v>
      </c>
      <c r="EO109" s="28" t="str">
        <f t="shared" si="111"/>
        <v>Ruim</v>
      </c>
      <c r="EP109" s="17" t="str">
        <f>IF(VLOOKUP(BM109,Fundamentus!A:U,12,FALSE)&lt;2,"Subvalorizada",IF(VLOOKUP(BM109,Fundamentus!A:U,12,FALSE)&lt;6,"Muita barata",IF(VLOOKUP(BM109,Fundamentus!A:U,12,FALSE)&lt;6,"Barata",IF(VLOOKUP(BM109,Fundamentus!A:U,12,FALSE)&lt;8,"Atrativa",IF(VLOOKUP(BM109,Fundamentus!A:U,12,FALSE)&gt;8,"Supervalorizada","n/a")))))</f>
        <v>Muita barata</v>
      </c>
      <c r="ER109" s="17" t="str">
        <f>IF(VLOOKUP(BM109,Fundamentus!A:U,17,FALSE)&lt;0.1,"Fraco retorno",IF(VLOOKUP(BM109,Fundamentus!A:U,17,FALSE)&gt;0.1,"Bom retorno","n/a"))</f>
        <v>Fraco retorno</v>
      </c>
      <c r="ES109" s="17" t="str">
        <f>IF(VLOOKUP(BM109,Fundamentus!A:U,16,FALSE)&lt;0.1,"Ineficiente",IF(VLOOKUP(BM109,Fundamentus!A:U,16,FALSE)&gt;0.1,"Eficiente","n/a"))</f>
        <v>Ineficiente</v>
      </c>
      <c r="ET109" s="33" t="str">
        <f>IF(VLOOKUP(BM109,Fundamentus!A:U,16,FALSE)&lt;0.1,"Oper. Ineficiente",IF(VLOOKUP(BM109,Fundamentus!A:U,16,FALSE)&gt;0.1,"Oper.Eficiente","n/a"))</f>
        <v>Oper. Ineficiente</v>
      </c>
      <c r="EU109" s="34">
        <f>VLOOKUP(BM109,Fundamentus!A:U,14,FALSE)</f>
        <v>7.2099999999999997E-2</v>
      </c>
      <c r="EV109" s="17" t="str">
        <f>IF(VLOOKUP(BM109,Fundamentus!A:U,21,FALSE)&lt;0,"Negativo",IF(VLOOKUP(BM109,Fundamentus!A:U,21,FALSE)&lt;0.05,"Fraco",IF(VLOOKUP(BM109,Fundamentus!A:U,21,FALSE)&lt;0.1,"Bom",IF(VLOOKUP(BM109,Fundamentus!A:U,21,FALSE)&gt;0.1,"Muito bom","n/a"))))</f>
        <v>Bom</v>
      </c>
      <c r="EX109" s="29" t="str">
        <f>IF(VLOOKUP(BM109,Fundamentus!A:U,15,FALSE)&gt;1,"Bom",IF(VLOOKUP(BM109,Fundamentus!A:U,15,FALSE)&lt;1,"Ruim","n/a"))</f>
        <v>Bom</v>
      </c>
      <c r="EY109" s="17" t="str">
        <f>IF(VLOOKUP(BM109,Fundamentus!A:U,20,FALSE)&lt;0.5,"Baixa",IF(VLOOKUP(BM109,Fundamentus!A:U,20,FALSE)&lt;1,"Moderada",IF(VLOOKUP(BM109,Fundamentus!A:U,20,FALSE)&lt;2,"Alerta",IF(VLOOKUP(BM109,Fundamentus!A:U,20,FALSE)&gt;2,"Alta","n/a"))))</f>
        <v>Moderada</v>
      </c>
      <c r="EZ109" s="10"/>
    </row>
    <row r="110" spans="1:156" s="2" customFormat="1" ht="11.25" x14ac:dyDescent="0.2">
      <c r="A110" s="4">
        <v>13.53</v>
      </c>
      <c r="B110" s="4">
        <v>13.17</v>
      </c>
      <c r="C110" s="4">
        <v>13.87</v>
      </c>
      <c r="D110" s="4">
        <v>15.87</v>
      </c>
      <c r="E110" s="4">
        <v>16.21</v>
      </c>
      <c r="F110" s="4">
        <v>15.65</v>
      </c>
      <c r="G110" s="4">
        <v>15.31</v>
      </c>
      <c r="H110" s="4">
        <v>14.79</v>
      </c>
      <c r="I110" s="4">
        <v>15.3</v>
      </c>
      <c r="J110" s="4">
        <v>15.13</v>
      </c>
      <c r="K110" s="4">
        <v>15.64</v>
      </c>
      <c r="L110" s="4">
        <v>15.39</v>
      </c>
      <c r="M110" s="4">
        <v>16.149999999999999</v>
      </c>
      <c r="N110" s="4">
        <v>17.14</v>
      </c>
      <c r="O110" s="4">
        <v>16.760000000000002</v>
      </c>
      <c r="P110" s="4">
        <v>16.23</v>
      </c>
      <c r="Q110" s="4">
        <v>16.079999999999998</v>
      </c>
      <c r="R110" s="4">
        <v>15.4</v>
      </c>
      <c r="S110" s="4">
        <v>14.94</v>
      </c>
      <c r="T110" s="4">
        <v>15.55</v>
      </c>
      <c r="U110" s="4">
        <v>16.329999999999998</v>
      </c>
      <c r="V110" s="4">
        <v>14.91</v>
      </c>
      <c r="W110" s="4">
        <v>14.21</v>
      </c>
      <c r="X110" s="4">
        <v>13.53</v>
      </c>
      <c r="Y110" s="4">
        <v>12.92</v>
      </c>
      <c r="Z110" s="4">
        <v>13.3</v>
      </c>
      <c r="AA110" s="4">
        <v>13</v>
      </c>
      <c r="AB110" s="4">
        <v>13.75</v>
      </c>
      <c r="AC110" s="4">
        <v>13.54</v>
      </c>
      <c r="AD110" s="4">
        <v>13.79</v>
      </c>
      <c r="AE110" s="4">
        <v>12.83</v>
      </c>
      <c r="AF110" s="4">
        <v>12.92</v>
      </c>
      <c r="AG110" s="4">
        <v>11.58</v>
      </c>
      <c r="AH110" s="4">
        <v>10.3</v>
      </c>
      <c r="AI110" s="4">
        <v>10.199999999999999</v>
      </c>
      <c r="AJ110" s="4">
        <v>10.31</v>
      </c>
      <c r="AK110" s="4">
        <v>10.1</v>
      </c>
      <c r="AL110" s="4">
        <v>10.199999999999999</v>
      </c>
      <c r="AM110" s="4">
        <v>10.3</v>
      </c>
      <c r="AN110" s="4">
        <v>10.02</v>
      </c>
      <c r="AO110" s="4">
        <v>9.66</v>
      </c>
      <c r="AP110" s="4">
        <v>9.6999999999999993</v>
      </c>
      <c r="AQ110" s="4">
        <v>9.2100000000000009</v>
      </c>
      <c r="AR110" s="4">
        <v>8.18</v>
      </c>
      <c r="AS110" s="4">
        <v>8.4700000000000006</v>
      </c>
      <c r="AT110" s="4">
        <v>8.4</v>
      </c>
      <c r="AU110" s="4">
        <v>8.4450000000000003</v>
      </c>
      <c r="AV110" s="4">
        <v>8.01</v>
      </c>
      <c r="AW110" s="4">
        <v>8.5500000000000007</v>
      </c>
      <c r="AX110" s="4">
        <v>8.1999999999999993</v>
      </c>
      <c r="AY110" s="12">
        <v>8.74</v>
      </c>
      <c r="AZ110" s="12">
        <v>9.67</v>
      </c>
      <c r="BA110" s="12">
        <v>9.23</v>
      </c>
      <c r="BB110" s="15">
        <v>9.41</v>
      </c>
      <c r="BC110" s="52">
        <v>9.08</v>
      </c>
      <c r="BD110" s="52">
        <v>9.33</v>
      </c>
      <c r="BE110" s="52">
        <v>9.4600000000000009</v>
      </c>
      <c r="BF110" s="52">
        <v>9.36</v>
      </c>
      <c r="BG110" s="67">
        <v>9.5</v>
      </c>
      <c r="BH110" s="52">
        <v>9.73</v>
      </c>
      <c r="BI110" s="52">
        <v>9.4600000000000009</v>
      </c>
      <c r="BJ110" s="52">
        <v>9.51</v>
      </c>
      <c r="BK110" s="52">
        <v>9</v>
      </c>
      <c r="BL110" s="52" cm="1">
        <f t="array" aca="1" ref="BL110" ca="1">_FV(EC110,"Preço")</f>
        <v>9</v>
      </c>
      <c r="BM110" s="69" t="s">
        <v>107</v>
      </c>
      <c r="BN110" s="36" cm="1">
        <f t="array" aca="1" ref="BN110" ca="1">_FV(EC110,"Média de volume",TRUE)</f>
        <v>139710</v>
      </c>
      <c r="BO110" s="36">
        <v>125200</v>
      </c>
      <c r="BP110" s="36" cm="1">
        <f t="array" aca="1" ref="BP110" ca="1">_FV(EC110,"Volume")</f>
        <v>125200</v>
      </c>
      <c r="BQ110" s="24" cm="1">
        <f t="array" aca="1" ref="BQ110" ca="1">_FV(EC110,"Beta")</f>
        <v>1.2345999999999999</v>
      </c>
      <c r="BR110" s="71" cm="1">
        <f t="array" aca="1" ref="BR110" ca="1">_FV(EC110,"Variação (%)",TRUE)</f>
        <v>2.2270000000000002E-3</v>
      </c>
      <c r="BT110" s="17" cm="1">
        <f t="array" aca="1" ref="BT110" ca="1">_FV(EC110,"Baixo")</f>
        <v>8.74</v>
      </c>
      <c r="BU110" s="17" cm="1">
        <f t="array" aca="1" ref="BU110" ca="1">_FV(EC110,"Alto")</f>
        <v>9.07</v>
      </c>
      <c r="BV110" s="24"/>
      <c r="BW110" s="63">
        <f ca="1">SQRT(22.5*(BL110/VLOOKUP(BM110,Fundamentus!A:U,3,FALSE))*(BL110/VLOOKUP(BM110,Fundamentus!A:U,4,FALSE)))</f>
        <v>13.670579416815821</v>
      </c>
      <c r="BY110" s="62">
        <f t="shared" ca="1" si="112"/>
        <v>0</v>
      </c>
      <c r="BZ110" s="8"/>
      <c r="CA110" s="61">
        <f t="shared" si="113"/>
        <v>8.01</v>
      </c>
      <c r="CB110" s="61">
        <f t="shared" si="114"/>
        <v>17.14</v>
      </c>
      <c r="CC110" s="61">
        <f t="shared" si="115"/>
        <v>12.134206349206352</v>
      </c>
      <c r="CD110" s="14"/>
      <c r="CE110" s="35">
        <f t="shared" si="98"/>
        <v>8.8768399131582321</v>
      </c>
      <c r="CF110" s="15">
        <f t="shared" si="116"/>
        <v>9.3179999999999836</v>
      </c>
      <c r="CG110" s="35">
        <f t="shared" si="99"/>
        <v>9.7591600868417352</v>
      </c>
      <c r="CI110" s="14"/>
      <c r="CJ110" s="17">
        <f t="shared" si="100"/>
        <v>-3.1633333333333358</v>
      </c>
      <c r="CK110" s="17">
        <f t="shared" si="101"/>
        <v>2.423333333333332</v>
      </c>
      <c r="CL110" s="17">
        <f t="shared" si="102"/>
        <v>5.966666666666665</v>
      </c>
      <c r="CM110" s="38">
        <f t="shared" si="117"/>
        <v>11.553333333333333</v>
      </c>
      <c r="CN110" s="17">
        <f t="shared" si="103"/>
        <v>15.096666666666666</v>
      </c>
      <c r="CO110" s="17">
        <f t="shared" si="104"/>
        <v>20.683333333333334</v>
      </c>
      <c r="CP110" s="17">
        <f t="shared" si="105"/>
        <v>24.226666666666667</v>
      </c>
      <c r="CQ110" s="2" cm="1">
        <f t="array" aca="1" ref="CQ110" ca="1">MAX(_xlfn._xlws.FILTER(CJ110:CP110,CJ110:CP110&lt;BL110))</f>
        <v>5.966666666666665</v>
      </c>
      <c r="CR110" s="2" cm="1">
        <f t="array" aca="1" ref="CR110" ca="1">MIN(_xlfn._xlws.FILTER($CJ110:$CP110,$CJ110:$CP110&gt;BL110))</f>
        <v>11.553333333333333</v>
      </c>
      <c r="CS110" s="16">
        <f t="shared" ca="1" si="119"/>
        <v>0.93631284916201163</v>
      </c>
      <c r="CT110" s="20">
        <f t="shared" ca="1" si="120"/>
        <v>-0.46815642458100581</v>
      </c>
      <c r="CU110" s="20">
        <f t="shared" ca="1" si="121"/>
        <v>-0.31210428305400389</v>
      </c>
      <c r="CV110" s="20">
        <f t="shared" ca="1" si="122"/>
        <v>-0.18726256983240233</v>
      </c>
      <c r="CW110" s="20">
        <f t="shared" ca="1" si="123"/>
        <v>-0.1040347610180013</v>
      </c>
      <c r="CX110" s="20">
        <f t="shared" ca="1" si="124"/>
        <v>-5.5077226421294805E-2</v>
      </c>
      <c r="CY110" s="20">
        <f t="shared" ca="1" si="125"/>
        <v>-2.837311664127308E-2</v>
      </c>
      <c r="CZ110" s="20">
        <f t="shared" ca="1" si="126"/>
        <v>-1.4404813064030948E-2</v>
      </c>
      <c r="DA110" s="21">
        <f t="shared" ca="1" si="127"/>
        <v>1.4404813064030948E-2</v>
      </c>
      <c r="DB110" s="21">
        <f t="shared" ca="1" si="128"/>
        <v>2.837311664127308E-2</v>
      </c>
      <c r="DC110" s="21">
        <f t="shared" ca="1" si="129"/>
        <v>5.5077226421294805E-2</v>
      </c>
      <c r="DD110" s="21">
        <f t="shared" ca="1" si="130"/>
        <v>0.1040347610180013</v>
      </c>
      <c r="DE110" s="21">
        <f t="shared" ca="1" si="131"/>
        <v>0.18726256983240233</v>
      </c>
      <c r="DF110" s="21">
        <f t="shared" ca="1" si="132"/>
        <v>0.31210428305400389</v>
      </c>
      <c r="DG110" s="21">
        <f t="shared" ca="1" si="133"/>
        <v>0.46815642458100581</v>
      </c>
      <c r="DI110" s="16" cm="1">
        <f t="array" aca="1" ref="DI110" ca="1">MAX(_xlfn._xlws.FILTER(CT110:DG110,CT110:DG110&lt;BR110))</f>
        <v>-1.4404813064030948E-2</v>
      </c>
      <c r="DJ110" s="16" cm="1">
        <f t="array" aca="1" ref="DJ110" ca="1">MIN(_xlfn._xlws.FILTER(CT110:DG110,CT110:DG110&gt;BR110))</f>
        <v>1.4404813064030948E-2</v>
      </c>
      <c r="DK110" s="2" cm="1">
        <f t="array" aca="1" ref="DK110" ca="1">_FV(EC110,"Fechamento anterior",TRUE)</f>
        <v>8.98</v>
      </c>
      <c r="DL110" s="28">
        <f t="shared" ca="1" si="106"/>
        <v>0.57730650451015297</v>
      </c>
      <c r="DM110" s="15">
        <f t="shared" ca="1" si="134"/>
        <v>8.8506447786850018</v>
      </c>
      <c r="DN110" s="15">
        <f t="shared" ca="1" si="135"/>
        <v>9.1093552213149991</v>
      </c>
      <c r="DO110" s="9"/>
      <c r="DP110" s="9"/>
      <c r="DQ110" s="9"/>
      <c r="DR110" s="89">
        <v>1.400736926157581E-2</v>
      </c>
      <c r="DS110" s="89">
        <v>2.8859060402684582E-2</v>
      </c>
      <c r="DT110" s="89">
        <v>2.8809626128061896E-2</v>
      </c>
      <c r="DU110" s="89">
        <v>2.8809626128061896E-2</v>
      </c>
      <c r="DV110" s="89">
        <f t="shared" ca="1" si="107"/>
        <v>2.8809626128061896E-2</v>
      </c>
      <c r="DW110" s="72">
        <f t="shared" ca="1" si="108"/>
        <v>-0.72082676897752385</v>
      </c>
      <c r="DX110" s="37"/>
      <c r="DY110" s="35">
        <f t="shared" si="118"/>
        <v>0.22058004342087617</v>
      </c>
      <c r="DZ110" s="56"/>
      <c r="EA110" s="56"/>
      <c r="EC110" s="2" t="e" vm="110">
        <v>#VALUE!</v>
      </c>
      <c r="EE110" s="10" cm="1">
        <f t="array" aca="1" ref="EE110" ca="1">_FV(EC110,"Ações em circulação",TRUE)</f>
        <v>115878000</v>
      </c>
      <c r="EF110" s="18">
        <f>VLOOKUP(BM110,Fundamentus!A:U,5,FALSE)</f>
        <v>0.95299999999999996</v>
      </c>
      <c r="EG110" s="2">
        <f t="shared" ca="1" si="109"/>
        <v>1094335781.7418678</v>
      </c>
      <c r="EH110" s="17">
        <v>95535513.746065065</v>
      </c>
      <c r="EI110" s="17">
        <f t="shared" ca="1" si="110"/>
        <v>95535513.746065065</v>
      </c>
      <c r="EK110" s="16">
        <f t="shared" ca="1" si="97"/>
        <v>0</v>
      </c>
      <c r="EL110" s="32" t="str">
        <f>IF(VLOOKUP(BM110,Fundamentus!A:U,3,FALSE)&lt;15,"Bom",IF(VLOOKUP(BM110,Fundamentus!A:U,3,FALSE)&gt;15,"Ruim","n/a"))</f>
        <v>Bom</v>
      </c>
      <c r="EM110" s="28" t="str">
        <f>IF(VLOOKUP(BM110,Fundamentus!A:U,4,FALSE)&lt;1,"Baixo",IF(VLOOKUP(BM110,Fundamentus!A:U,4,FALSE)&lt;1.5,"Moderado",IF(VLOOKUP(BM110,Fundamentus!A:U,4,FALSE)&gt;1.5,"Alto","n/a")))</f>
        <v>Baixo</v>
      </c>
      <c r="EN110" s="17" t="str">
        <f>IF(VLOOKUP(BM110,Fundamentus!A:U,8,FALSE)&lt;0,"Risco elevado",IF(VLOOKUP(BM110,Fundamentus!A:U,8,FALSE)&lt;1,"Saudável",IF(VLOOKUP(BM110,Fundamentus!A:U,8,FALSE)&lt;3,"Estável",IF(VLOOKUP(BM110,Fundamentus!A:U,8,FALSE)&gt;3,"Alerta","n/a"))))</f>
        <v>Alerta</v>
      </c>
      <c r="EO110" s="28" t="str">
        <f t="shared" si="111"/>
        <v>Ruim</v>
      </c>
      <c r="EP110" s="17" t="str">
        <f>IF(VLOOKUP(BM110,Fundamentus!A:U,12,FALSE)&lt;2,"Subvalorizada",IF(VLOOKUP(BM110,Fundamentus!A:U,12,FALSE)&lt;6,"Muita barata",IF(VLOOKUP(BM110,Fundamentus!A:U,12,FALSE)&lt;6,"Barata",IF(VLOOKUP(BM110,Fundamentus!A:U,12,FALSE)&lt;8,"Atrativa",IF(VLOOKUP(BM110,Fundamentus!A:U,12,FALSE)&gt;8,"Supervalorizada","n/a")))))</f>
        <v>Muita barata</v>
      </c>
      <c r="ER110" s="17" t="str">
        <f>IF(VLOOKUP(BM110,Fundamentus!A:U,17,FALSE)&lt;0.1,"Fraco retorno",IF(VLOOKUP(BM110,Fundamentus!A:U,17,FALSE)&gt;0.1,"Bom retorno","n/a"))</f>
        <v>Fraco retorno</v>
      </c>
      <c r="ES110" s="17" t="str">
        <f>IF(VLOOKUP(BM110,Fundamentus!A:U,16,FALSE)&lt;0.1,"Ineficiente",IF(VLOOKUP(BM110,Fundamentus!A:U,16,FALSE)&gt;0.1,"Eficiente","n/a"))</f>
        <v>Eficiente</v>
      </c>
      <c r="ET110" s="33" t="str">
        <f>IF(VLOOKUP(BM110,Fundamentus!A:U,16,FALSE)&lt;0.1,"Oper. Ineficiente",IF(VLOOKUP(BM110,Fundamentus!A:U,16,FALSE)&gt;0.1,"Oper.Eficiente","n/a"))</f>
        <v>Oper.Eficiente</v>
      </c>
      <c r="EU110" s="34">
        <f>VLOOKUP(BM110,Fundamentus!A:U,14,FALSE)</f>
        <v>8.7300000000000003E-2</v>
      </c>
      <c r="EV110" s="17" t="str">
        <f>IF(VLOOKUP(BM110,Fundamentus!A:U,21,FALSE)&lt;0,"Negativo",IF(VLOOKUP(BM110,Fundamentus!A:U,21,FALSE)&lt;0.05,"Fraco",IF(VLOOKUP(BM110,Fundamentus!A:U,21,FALSE)&lt;0.1,"Bom",IF(VLOOKUP(BM110,Fundamentus!A:U,21,FALSE)&gt;0.1,"Muito bom","n/a"))))</f>
        <v>Muito bom</v>
      </c>
      <c r="EX110" s="29" t="str">
        <f>IF(VLOOKUP(BM110,Fundamentus!A:U,15,FALSE)&gt;1,"Bom",IF(VLOOKUP(BM110,Fundamentus!A:U,15,FALSE)&lt;1,"Ruim","n/a"))</f>
        <v>Bom</v>
      </c>
      <c r="EY110" s="17" t="str">
        <f>IF(VLOOKUP(BM110,Fundamentus!A:U,20,FALSE)&lt;0.5,"Baixa",IF(VLOOKUP(BM110,Fundamentus!A:U,20,FALSE)&lt;1,"Moderada",IF(VLOOKUP(BM110,Fundamentus!A:U,20,FALSE)&lt;2,"Alerta",IF(VLOOKUP(BM110,Fundamentus!A:U,20,FALSE)&gt;2,"Alta","n/a"))))</f>
        <v>Alerta</v>
      </c>
      <c r="EZ110" s="10"/>
    </row>
    <row r="111" spans="1:156" s="2" customFormat="1" ht="11.25" x14ac:dyDescent="0.2">
      <c r="A111" s="4">
        <v>2.97</v>
      </c>
      <c r="B111" s="4">
        <v>2.99</v>
      </c>
      <c r="C111" s="4">
        <v>2.95</v>
      </c>
      <c r="D111" s="4">
        <v>2.9</v>
      </c>
      <c r="E111" s="4">
        <v>2.86</v>
      </c>
      <c r="F111" s="4">
        <v>2.87</v>
      </c>
      <c r="G111" s="4">
        <v>2.67</v>
      </c>
      <c r="H111" s="4">
        <v>2.63</v>
      </c>
      <c r="I111" s="4">
        <v>2.62</v>
      </c>
      <c r="J111" s="4">
        <v>2.73</v>
      </c>
      <c r="K111" s="4">
        <v>2.72</v>
      </c>
      <c r="L111" s="4">
        <v>2.65</v>
      </c>
      <c r="M111" s="4">
        <v>2.63</v>
      </c>
      <c r="N111" s="4">
        <v>2.63</v>
      </c>
      <c r="O111" s="4">
        <v>2.85</v>
      </c>
      <c r="P111" s="4">
        <v>2.86</v>
      </c>
      <c r="Q111" s="4">
        <v>2.9</v>
      </c>
      <c r="R111" s="4">
        <v>2.78</v>
      </c>
      <c r="S111" s="4">
        <v>2.71</v>
      </c>
      <c r="T111" s="4">
        <v>2.72</v>
      </c>
      <c r="U111" s="4">
        <v>2.62</v>
      </c>
      <c r="V111" s="4">
        <v>2.65</v>
      </c>
      <c r="W111" s="4">
        <v>2.66</v>
      </c>
      <c r="X111" s="4">
        <v>2.57</v>
      </c>
      <c r="Y111" s="4">
        <v>2.56</v>
      </c>
      <c r="Z111" s="4">
        <v>2.5499999999999998</v>
      </c>
      <c r="AA111" s="4">
        <v>2.48</v>
      </c>
      <c r="AB111" s="4">
        <v>2.48</v>
      </c>
      <c r="AC111" s="4">
        <v>2.41</v>
      </c>
      <c r="AD111" s="4">
        <v>2.38</v>
      </c>
      <c r="AE111" s="4">
        <v>2.34</v>
      </c>
      <c r="AF111" s="4">
        <v>2.3199999999999998</v>
      </c>
      <c r="AG111" s="4">
        <v>2.2200000000000002</v>
      </c>
      <c r="AH111" s="4">
        <v>2.1</v>
      </c>
      <c r="AI111" s="4">
        <v>2.15</v>
      </c>
      <c r="AJ111" s="4">
        <v>2.12</v>
      </c>
      <c r="AK111" s="4">
        <v>2.06</v>
      </c>
      <c r="AL111" s="4">
        <v>2.1</v>
      </c>
      <c r="AM111" s="4">
        <v>2.0499999999999998</v>
      </c>
      <c r="AN111" s="4">
        <v>2.1800000000000002</v>
      </c>
      <c r="AO111" s="4">
        <v>2.33</v>
      </c>
      <c r="AP111" s="4">
        <v>2.41</v>
      </c>
      <c r="AQ111" s="4">
        <v>2.35</v>
      </c>
      <c r="AR111" s="4">
        <v>2.08</v>
      </c>
      <c r="AS111" s="4">
        <v>2.13</v>
      </c>
      <c r="AT111" s="4">
        <v>2.19</v>
      </c>
      <c r="AU111" s="4">
        <v>2.21</v>
      </c>
      <c r="AV111" s="4">
        <v>2.17</v>
      </c>
      <c r="AW111" s="4">
        <v>2.13</v>
      </c>
      <c r="AX111" s="4">
        <v>2.21</v>
      </c>
      <c r="AY111" s="12">
        <v>2.2400000000000002</v>
      </c>
      <c r="AZ111" s="12">
        <v>2.35</v>
      </c>
      <c r="BA111" s="12">
        <v>2.3199999999999998</v>
      </c>
      <c r="BB111" s="15">
        <v>2.4700000000000002</v>
      </c>
      <c r="BC111" s="52">
        <v>2.52</v>
      </c>
      <c r="BD111" s="52">
        <v>2.58</v>
      </c>
      <c r="BE111" s="52">
        <v>2.72</v>
      </c>
      <c r="BF111" s="52">
        <v>2.69</v>
      </c>
      <c r="BG111" s="67">
        <v>2.65</v>
      </c>
      <c r="BH111" s="52">
        <v>2.6</v>
      </c>
      <c r="BI111" s="52">
        <v>2.77</v>
      </c>
      <c r="BJ111" s="52">
        <v>2.8</v>
      </c>
      <c r="BK111" s="52">
        <v>2.64</v>
      </c>
      <c r="BL111" s="52" cm="1">
        <f t="array" aca="1" ref="BL111" ca="1">_FV(EC111,"Preço")</f>
        <v>2.64</v>
      </c>
      <c r="BM111" s="69" t="s">
        <v>108</v>
      </c>
      <c r="BN111" s="36" cm="1">
        <f t="array" aca="1" ref="BN111" ca="1">_FV(EC111,"Média de volume",TRUE)</f>
        <v>46310</v>
      </c>
      <c r="BO111" s="36">
        <v>231800</v>
      </c>
      <c r="BP111" s="36" cm="1">
        <f t="array" aca="1" ref="BP111" ca="1">_FV(EC111,"Volume")</f>
        <v>231800</v>
      </c>
      <c r="BQ111" s="24" cm="1">
        <f t="array" aca="1" ref="BQ111" ca="1">_FV(EC111,"Beta")</f>
        <v>1.0244</v>
      </c>
      <c r="BR111" s="71" cm="1">
        <f t="array" aca="1" ref="BR111" ca="1">_FV(EC111,"Variação (%)",TRUE)</f>
        <v>-5.3762999999999998E-2</v>
      </c>
      <c r="BT111" s="17" cm="1">
        <f t="array" aca="1" ref="BT111" ca="1">_FV(EC111,"Baixo")</f>
        <v>2.61</v>
      </c>
      <c r="BU111" s="17" cm="1">
        <f t="array" aca="1" ref="BU111" ca="1">_FV(EC111,"Alto")</f>
        <v>2.8</v>
      </c>
      <c r="BV111" s="24"/>
      <c r="BW111" s="63">
        <f ca="1">SQRT(22.5*(BL111/VLOOKUP(BM111,Fundamentus!A:U,3,FALSE))*(BL111/VLOOKUP(BM111,Fundamentus!A:U,4,FALSE)))</f>
        <v>3.1160823224439493</v>
      </c>
      <c r="BY111" s="62">
        <f t="shared" ca="1" si="112"/>
        <v>0</v>
      </c>
      <c r="BZ111" s="8"/>
      <c r="CA111" s="61">
        <f t="shared" si="113"/>
        <v>2.0499999999999998</v>
      </c>
      <c r="CB111" s="61">
        <f t="shared" si="114"/>
        <v>2.99</v>
      </c>
      <c r="CC111" s="61">
        <f t="shared" si="115"/>
        <v>2.5111111111111111</v>
      </c>
      <c r="CD111" s="14"/>
      <c r="CE111" s="35">
        <f t="shared" si="98"/>
        <v>2.5669770803138277</v>
      </c>
      <c r="CF111" s="15">
        <f t="shared" si="116"/>
        <v>2.7099999999999937</v>
      </c>
      <c r="CG111" s="35">
        <f t="shared" si="99"/>
        <v>2.8530229196861598</v>
      </c>
      <c r="CI111" s="14"/>
      <c r="CJ111" s="17">
        <f t="shared" si="100"/>
        <v>1.296666666666666</v>
      </c>
      <c r="CK111" s="17">
        <f t="shared" si="101"/>
        <v>1.6733333333333329</v>
      </c>
      <c r="CL111" s="17">
        <f t="shared" si="102"/>
        <v>2.2366666666666664</v>
      </c>
      <c r="CM111" s="38">
        <f t="shared" si="117"/>
        <v>2.6133333333333333</v>
      </c>
      <c r="CN111" s="17">
        <f t="shared" si="103"/>
        <v>3.1766666666666667</v>
      </c>
      <c r="CO111" s="17">
        <f t="shared" si="104"/>
        <v>3.5533333333333337</v>
      </c>
      <c r="CP111" s="17">
        <f t="shared" si="105"/>
        <v>4.1166666666666671</v>
      </c>
      <c r="CQ111" s="2" cm="1">
        <f t="array" aca="1" ref="CQ111" ca="1">MAX(_xlfn._xlws.FILTER(CJ111:CP111,CJ111:CP111&lt;BL111))</f>
        <v>2.6133333333333333</v>
      </c>
      <c r="CR111" s="2" cm="1">
        <f t="array" aca="1" ref="CR111" ca="1">MIN(_xlfn._xlws.FILTER($CJ111:$CP111,$CJ111:$CP111&gt;BL111))</f>
        <v>3.1766666666666667</v>
      </c>
      <c r="CS111" s="16">
        <f t="shared" ca="1" si="119"/>
        <v>0.21556122448979598</v>
      </c>
      <c r="CT111" s="20">
        <f t="shared" ca="1" si="120"/>
        <v>-0.10778061224489799</v>
      </c>
      <c r="CU111" s="20">
        <f t="shared" ca="1" si="121"/>
        <v>-7.1853741496598664E-2</v>
      </c>
      <c r="CV111" s="20">
        <f t="shared" ca="1" si="122"/>
        <v>-4.3112244897959194E-2</v>
      </c>
      <c r="CW111" s="20">
        <f t="shared" ca="1" si="123"/>
        <v>-2.3951247165532888E-2</v>
      </c>
      <c r="CX111" s="20">
        <f t="shared" ca="1" si="124"/>
        <v>-1.2680072028811528E-2</v>
      </c>
      <c r="CY111" s="20">
        <f t="shared" ca="1" si="125"/>
        <v>-6.5321583178726056E-3</v>
      </c>
      <c r="CZ111" s="20">
        <f t="shared" ca="1" si="126"/>
        <v>-3.3163265306122456E-3</v>
      </c>
      <c r="DA111" s="21">
        <f t="shared" ca="1" si="127"/>
        <v>3.3163265306122456E-3</v>
      </c>
      <c r="DB111" s="21">
        <f t="shared" ca="1" si="128"/>
        <v>6.5321583178726056E-3</v>
      </c>
      <c r="DC111" s="21">
        <f t="shared" ca="1" si="129"/>
        <v>1.2680072028811528E-2</v>
      </c>
      <c r="DD111" s="21">
        <f t="shared" ca="1" si="130"/>
        <v>2.3951247165532888E-2</v>
      </c>
      <c r="DE111" s="21">
        <f t="shared" ca="1" si="131"/>
        <v>4.3112244897959194E-2</v>
      </c>
      <c r="DF111" s="21">
        <f t="shared" ca="1" si="132"/>
        <v>7.1853741496598664E-2</v>
      </c>
      <c r="DG111" s="21">
        <f t="shared" ca="1" si="133"/>
        <v>0.10778061224489799</v>
      </c>
      <c r="DI111" s="16" cm="1">
        <f t="array" aca="1" ref="DI111" ca="1">MAX(_xlfn._xlws.FILTER(CT111:DG111,CT111:DG111&lt;BR111))</f>
        <v>-7.1853741496598664E-2</v>
      </c>
      <c r="DJ111" s="16" cm="1">
        <f t="array" aca="1" ref="DJ111" ca="1">MIN(_xlfn._xlws.FILTER(CT111:DG111,CT111:DG111&gt;BR111))</f>
        <v>-4.3112244897959194E-2</v>
      </c>
      <c r="DK111" s="2" cm="1">
        <f t="array" aca="1" ref="DK111" ca="1">_FV(EC111,"Fechamento anterior",TRUE)</f>
        <v>2.79</v>
      </c>
      <c r="DL111" s="28">
        <f t="shared" ca="1" si="106"/>
        <v>0.62941401030731248</v>
      </c>
      <c r="DM111" s="15">
        <f t="shared" ca="1" si="134"/>
        <v>2.58952806122449</v>
      </c>
      <c r="DN111" s="15">
        <f t="shared" ca="1" si="135"/>
        <v>2.6697168367346937</v>
      </c>
      <c r="DO111" s="9"/>
      <c r="DP111" s="9"/>
      <c r="DQ111" s="9"/>
      <c r="DR111" s="89">
        <v>3.4642012170102081E-3</v>
      </c>
      <c r="DS111" s="89">
        <v>2.9875629355473297E-3</v>
      </c>
      <c r="DT111" s="89">
        <v>6.1479137109389228E-3</v>
      </c>
      <c r="DU111" s="89">
        <v>2.874149659863947E-2</v>
      </c>
      <c r="DV111" s="89">
        <f t="shared" ca="1" si="107"/>
        <v>2.874149659863947E-2</v>
      </c>
      <c r="DW111" s="72">
        <f t="shared" ca="1" si="108"/>
        <v>-0.48943204455337641</v>
      </c>
      <c r="DX111" s="37"/>
      <c r="DY111" s="35">
        <f t="shared" si="118"/>
        <v>7.1511459843083047E-2</v>
      </c>
      <c r="DZ111" s="56"/>
      <c r="EA111" s="56"/>
      <c r="EC111" s="2" t="e" vm="111">
        <v>#VALUE!</v>
      </c>
      <c r="EE111" s="10" cm="1">
        <f t="array" aca="1" ref="EE111" ca="1">_FV(EC111,"Ações em circulação",TRUE)</f>
        <v>1206361000</v>
      </c>
      <c r="EF111" s="18">
        <f>VLOOKUP(BM111,Fundamentus!A:U,5,FALSE)</f>
        <v>4.3390000000000004</v>
      </c>
      <c r="EG111" s="2">
        <f t="shared" ca="1" si="109"/>
        <v>733992403.77967262</v>
      </c>
      <c r="EH111" s="17">
        <v>246621447.66997001</v>
      </c>
      <c r="EI111" s="17">
        <f t="shared" ca="1" si="110"/>
        <v>246621447.66997001</v>
      </c>
      <c r="EK111" s="16">
        <f t="shared" ca="1" si="97"/>
        <v>0</v>
      </c>
      <c r="EL111" s="32" t="str">
        <f>IF(VLOOKUP(BM111,Fundamentus!A:U,3,FALSE)&lt;15,"Bom",IF(VLOOKUP(BM111,Fundamentus!A:U,3,FALSE)&gt;15,"Ruim","n/a"))</f>
        <v>Bom</v>
      </c>
      <c r="EM111" s="28" t="str">
        <f>IF(VLOOKUP(BM111,Fundamentus!A:U,4,FALSE)&lt;1,"Baixo",IF(VLOOKUP(BM111,Fundamentus!A:U,4,FALSE)&lt;1.5,"Moderado",IF(VLOOKUP(BM111,Fundamentus!A:U,4,FALSE)&gt;1.5,"Alto","n/a")))</f>
        <v>Moderado</v>
      </c>
      <c r="EN111" s="17" t="str">
        <f>IF(VLOOKUP(BM111,Fundamentus!A:U,8,FALSE)&lt;0,"Risco elevado",IF(VLOOKUP(BM111,Fundamentus!A:U,8,FALSE)&lt;1,"Saudável",IF(VLOOKUP(BM111,Fundamentus!A:U,8,FALSE)&lt;3,"Estável",IF(VLOOKUP(BM111,Fundamentus!A:U,8,FALSE)&gt;3,"Alerta","n/a"))))</f>
        <v>Estável</v>
      </c>
      <c r="EO111" s="28" t="str">
        <f t="shared" si="111"/>
        <v>Bom</v>
      </c>
      <c r="EP111" s="17" t="str">
        <f>IF(VLOOKUP(BM111,Fundamentus!A:U,12,FALSE)&lt;2,"Subvalorizada",IF(VLOOKUP(BM111,Fundamentus!A:U,12,FALSE)&lt;6,"Muita barata",IF(VLOOKUP(BM111,Fundamentus!A:U,12,FALSE)&lt;6,"Barata",IF(VLOOKUP(BM111,Fundamentus!A:U,12,FALSE)&lt;8,"Atrativa",IF(VLOOKUP(BM111,Fundamentus!A:U,12,FALSE)&gt;8,"Supervalorizada","n/a")))))</f>
        <v>Supervalorizada</v>
      </c>
      <c r="ER111" s="17" t="str">
        <f>IF(VLOOKUP(BM111,Fundamentus!A:U,17,FALSE)&lt;0.1,"Fraco retorno",IF(VLOOKUP(BM111,Fundamentus!A:U,17,FALSE)&gt;0.1,"Bom retorno","n/a"))</f>
        <v>Fraco retorno</v>
      </c>
      <c r="ES111" s="17" t="str">
        <f>IF(VLOOKUP(BM111,Fundamentus!A:U,16,FALSE)&lt;0.1,"Ineficiente",IF(VLOOKUP(BM111,Fundamentus!A:U,16,FALSE)&gt;0.1,"Eficiente","n/a"))</f>
        <v>Eficiente</v>
      </c>
      <c r="ET111" s="33" t="str">
        <f>IF(VLOOKUP(BM111,Fundamentus!A:U,16,FALSE)&lt;0.1,"Oper. Ineficiente",IF(VLOOKUP(BM111,Fundamentus!A:U,16,FALSE)&gt;0.1,"Oper.Eficiente","n/a"))</f>
        <v>Oper.Eficiente</v>
      </c>
      <c r="EU111" s="34">
        <f>VLOOKUP(BM111,Fundamentus!A:U,14,FALSE)</f>
        <v>0.33600000000000002</v>
      </c>
      <c r="EV111" s="17" t="str">
        <f>IF(VLOOKUP(BM111,Fundamentus!A:U,21,FALSE)&lt;0,"Negativo",IF(VLOOKUP(BM111,Fundamentus!A:U,21,FALSE)&lt;0.05,"Fraco",IF(VLOOKUP(BM111,Fundamentus!A:U,21,FALSE)&lt;0.1,"Bom",IF(VLOOKUP(BM111,Fundamentus!A:U,21,FALSE)&gt;0.1,"Muito bom","n/a"))))</f>
        <v>Muito bom</v>
      </c>
      <c r="EX111" s="29" t="str">
        <f>IF(VLOOKUP(BM111,Fundamentus!A:U,15,FALSE)&gt;1,"Bom",IF(VLOOKUP(BM111,Fundamentus!A:U,15,FALSE)&lt;1,"Ruim","n/a"))</f>
        <v>Bom</v>
      </c>
      <c r="EY111" s="17" t="str">
        <f>IF(VLOOKUP(BM111,Fundamentus!A:U,20,FALSE)&lt;0.5,"Baixa",IF(VLOOKUP(BM111,Fundamentus!A:U,20,FALSE)&lt;1,"Moderada",IF(VLOOKUP(BM111,Fundamentus!A:U,20,FALSE)&lt;2,"Alerta",IF(VLOOKUP(BM111,Fundamentus!A:U,20,FALSE)&gt;2,"Alta","n/a"))))</f>
        <v>Moderada</v>
      </c>
      <c r="EZ111" s="10"/>
    </row>
    <row r="112" spans="1:156" s="2" customFormat="1" ht="11.25" x14ac:dyDescent="0.2">
      <c r="A112" s="4">
        <v>2.97</v>
      </c>
      <c r="B112" s="4">
        <v>2.99</v>
      </c>
      <c r="C112" s="4">
        <v>2.95</v>
      </c>
      <c r="D112" s="4">
        <v>2.9</v>
      </c>
      <c r="E112" s="4">
        <v>2.86</v>
      </c>
      <c r="F112" s="4">
        <v>2.87</v>
      </c>
      <c r="G112" s="4">
        <v>2.67</v>
      </c>
      <c r="H112" s="4">
        <v>2.63</v>
      </c>
      <c r="I112" s="4">
        <v>2.62</v>
      </c>
      <c r="J112" s="4">
        <v>2.73</v>
      </c>
      <c r="K112" s="4">
        <v>2.72</v>
      </c>
      <c r="L112" s="4">
        <v>2.65</v>
      </c>
      <c r="M112" s="4">
        <v>2.63</v>
      </c>
      <c r="N112" s="4">
        <v>2.63</v>
      </c>
      <c r="O112" s="4">
        <v>2.85</v>
      </c>
      <c r="P112" s="4">
        <v>2.86</v>
      </c>
      <c r="Q112" s="4">
        <v>2.9</v>
      </c>
      <c r="R112" s="4">
        <v>2.78</v>
      </c>
      <c r="S112" s="4">
        <v>2.71</v>
      </c>
      <c r="T112" s="4">
        <v>2.72</v>
      </c>
      <c r="U112" s="4">
        <v>2.62</v>
      </c>
      <c r="V112" s="4">
        <v>2.65</v>
      </c>
      <c r="W112" s="4">
        <v>2.66</v>
      </c>
      <c r="X112" s="4">
        <v>2.57</v>
      </c>
      <c r="Y112" s="4">
        <v>2.56</v>
      </c>
      <c r="Z112" s="4">
        <v>2.5499999999999998</v>
      </c>
      <c r="AA112" s="4">
        <v>2.48</v>
      </c>
      <c r="AB112" s="4">
        <v>2.48</v>
      </c>
      <c r="AC112" s="4">
        <v>2.41</v>
      </c>
      <c r="AD112" s="4">
        <v>2.38</v>
      </c>
      <c r="AE112" s="4">
        <v>2.34</v>
      </c>
      <c r="AF112" s="4">
        <v>2.3199999999999998</v>
      </c>
      <c r="AG112" s="4">
        <v>2.2200000000000002</v>
      </c>
      <c r="AH112" s="4">
        <v>2.1</v>
      </c>
      <c r="AI112" s="4">
        <v>2.15</v>
      </c>
      <c r="AJ112" s="4">
        <v>2.12</v>
      </c>
      <c r="AK112" s="4">
        <v>2.06</v>
      </c>
      <c r="AL112" s="4">
        <v>2.1</v>
      </c>
      <c r="AM112" s="4">
        <v>2.0499999999999998</v>
      </c>
      <c r="AN112" s="4">
        <v>2.1800000000000002</v>
      </c>
      <c r="AO112" s="4">
        <v>2.33</v>
      </c>
      <c r="AP112" s="4">
        <v>2.41</v>
      </c>
      <c r="AQ112" s="4">
        <v>2.35</v>
      </c>
      <c r="AR112" s="4">
        <v>2.08</v>
      </c>
      <c r="AS112" s="4">
        <v>2.13</v>
      </c>
      <c r="AT112" s="4">
        <v>2.19</v>
      </c>
      <c r="AU112" s="4">
        <v>2.21</v>
      </c>
      <c r="AV112" s="4">
        <v>2.17</v>
      </c>
      <c r="AW112" s="4">
        <v>2.13</v>
      </c>
      <c r="AX112" s="4">
        <v>2.21</v>
      </c>
      <c r="AY112" s="12">
        <v>2.2400000000000002</v>
      </c>
      <c r="AZ112" s="12">
        <v>2.35</v>
      </c>
      <c r="BA112" s="12">
        <v>2.3199999999999998</v>
      </c>
      <c r="BB112" s="15">
        <v>2.4700000000000002</v>
      </c>
      <c r="BC112" s="52">
        <v>2.52</v>
      </c>
      <c r="BD112" s="52">
        <v>2.58</v>
      </c>
      <c r="BE112" s="52">
        <v>2.72</v>
      </c>
      <c r="BF112" s="52">
        <v>2.69</v>
      </c>
      <c r="BG112" s="67">
        <v>2.65</v>
      </c>
      <c r="BH112" s="52">
        <v>2.6</v>
      </c>
      <c r="BI112" s="52">
        <v>2.77</v>
      </c>
      <c r="BJ112" s="52">
        <v>2.8</v>
      </c>
      <c r="BK112" s="52">
        <v>2.64</v>
      </c>
      <c r="BL112" s="52" cm="1">
        <f t="array" aca="1" ref="BL112" ca="1">_FV(EC112,"Preço")</f>
        <v>2.64</v>
      </c>
      <c r="BM112" s="69" t="s">
        <v>108</v>
      </c>
      <c r="BN112" s="36" cm="1">
        <f t="array" aca="1" ref="BN112" ca="1">_FV(EC112,"Média de volume",TRUE)</f>
        <v>46310</v>
      </c>
      <c r="BO112" s="36">
        <v>231800</v>
      </c>
      <c r="BP112" s="36" cm="1">
        <f t="array" aca="1" ref="BP112" ca="1">_FV(EC112,"Volume")</f>
        <v>231800</v>
      </c>
      <c r="BQ112" s="24" cm="1">
        <f t="array" aca="1" ref="BQ112" ca="1">_FV(EC112,"Beta")</f>
        <v>1.0244</v>
      </c>
      <c r="BR112" s="71" cm="1">
        <f t="array" aca="1" ref="BR112" ca="1">_FV(EC112,"Variação (%)",TRUE)</f>
        <v>-5.3762999999999998E-2</v>
      </c>
      <c r="BT112" s="17" cm="1">
        <f t="array" aca="1" ref="BT112" ca="1">_FV(EC112,"Baixo")</f>
        <v>2.61</v>
      </c>
      <c r="BU112" s="17" cm="1">
        <f t="array" aca="1" ref="BU112" ca="1">_FV(EC112,"Alto")</f>
        <v>2.8</v>
      </c>
      <c r="BV112" s="24"/>
      <c r="BW112" s="63">
        <f ca="1">SQRT(22.5*(BL112/VLOOKUP(BM112,Fundamentus!A:U,3,FALSE))*(BL112/VLOOKUP(BM112,Fundamentus!A:U,4,FALSE)))</f>
        <v>3.1160823224439493</v>
      </c>
      <c r="BY112" s="62">
        <f t="shared" ca="1" si="112"/>
        <v>0</v>
      </c>
      <c r="BZ112" s="8"/>
      <c r="CA112" s="61">
        <f t="shared" si="113"/>
        <v>2.0499999999999998</v>
      </c>
      <c r="CB112" s="61">
        <f t="shared" si="114"/>
        <v>2.99</v>
      </c>
      <c r="CC112" s="61">
        <f t="shared" si="115"/>
        <v>2.5111111111111111</v>
      </c>
      <c r="CD112" s="14"/>
      <c r="CE112" s="35">
        <f t="shared" si="98"/>
        <v>2.5669770803138277</v>
      </c>
      <c r="CF112" s="15">
        <f t="shared" si="116"/>
        <v>2.7099999999999937</v>
      </c>
      <c r="CG112" s="35">
        <f t="shared" si="99"/>
        <v>2.8530229196861598</v>
      </c>
      <c r="CI112" s="14"/>
      <c r="CJ112" s="17">
        <f t="shared" si="100"/>
        <v>1.296666666666666</v>
      </c>
      <c r="CK112" s="17">
        <f t="shared" si="101"/>
        <v>1.6733333333333329</v>
      </c>
      <c r="CL112" s="17">
        <f t="shared" si="102"/>
        <v>2.2366666666666664</v>
      </c>
      <c r="CM112" s="38">
        <f t="shared" si="117"/>
        <v>2.6133333333333333</v>
      </c>
      <c r="CN112" s="17">
        <f t="shared" si="103"/>
        <v>3.1766666666666667</v>
      </c>
      <c r="CO112" s="17">
        <f t="shared" si="104"/>
        <v>3.5533333333333337</v>
      </c>
      <c r="CP112" s="17">
        <f t="shared" si="105"/>
        <v>4.1166666666666671</v>
      </c>
      <c r="CQ112" s="2" cm="1">
        <f t="array" aca="1" ref="CQ112" ca="1">MAX(_xlfn._xlws.FILTER(CJ112:CP112,CJ112:CP112&lt;BL112))</f>
        <v>2.6133333333333333</v>
      </c>
      <c r="CR112" s="2" cm="1">
        <f t="array" aca="1" ref="CR112" ca="1">MIN(_xlfn._xlws.FILTER($CJ112:$CP112,$CJ112:$CP112&gt;BL112))</f>
        <v>3.1766666666666667</v>
      </c>
      <c r="CS112" s="16">
        <f t="shared" ca="1" si="119"/>
        <v>0.21556122448979598</v>
      </c>
      <c r="CT112" s="20">
        <f t="shared" ca="1" si="120"/>
        <v>-0.10778061224489799</v>
      </c>
      <c r="CU112" s="20">
        <f t="shared" ca="1" si="121"/>
        <v>-7.1853741496598664E-2</v>
      </c>
      <c r="CV112" s="20">
        <f t="shared" ca="1" si="122"/>
        <v>-4.3112244897959194E-2</v>
      </c>
      <c r="CW112" s="20">
        <f t="shared" ca="1" si="123"/>
        <v>-2.3951247165532888E-2</v>
      </c>
      <c r="CX112" s="20">
        <f t="shared" ca="1" si="124"/>
        <v>-1.2680072028811528E-2</v>
      </c>
      <c r="CY112" s="20">
        <f t="shared" ca="1" si="125"/>
        <v>-6.5321583178726056E-3</v>
      </c>
      <c r="CZ112" s="20">
        <f t="shared" ca="1" si="126"/>
        <v>-3.3163265306122456E-3</v>
      </c>
      <c r="DA112" s="21">
        <f t="shared" ca="1" si="127"/>
        <v>3.3163265306122456E-3</v>
      </c>
      <c r="DB112" s="21">
        <f t="shared" ca="1" si="128"/>
        <v>6.5321583178726056E-3</v>
      </c>
      <c r="DC112" s="21">
        <f t="shared" ca="1" si="129"/>
        <v>1.2680072028811528E-2</v>
      </c>
      <c r="DD112" s="21">
        <f t="shared" ca="1" si="130"/>
        <v>2.3951247165532888E-2</v>
      </c>
      <c r="DE112" s="21">
        <f t="shared" ca="1" si="131"/>
        <v>4.3112244897959194E-2</v>
      </c>
      <c r="DF112" s="21">
        <f t="shared" ca="1" si="132"/>
        <v>7.1853741496598664E-2</v>
      </c>
      <c r="DG112" s="21">
        <f t="shared" ca="1" si="133"/>
        <v>0.10778061224489799</v>
      </c>
      <c r="DI112" s="16" cm="1">
        <f t="array" aca="1" ref="DI112" ca="1">MAX(_xlfn._xlws.FILTER(CT112:DG112,CT112:DG112&lt;BR112))</f>
        <v>-7.1853741496598664E-2</v>
      </c>
      <c r="DJ112" s="16" cm="1">
        <f t="array" aca="1" ref="DJ112" ca="1">MIN(_xlfn._xlws.FILTER(CT112:DG112,CT112:DG112&gt;BR112))</f>
        <v>-4.3112244897959194E-2</v>
      </c>
      <c r="DK112" s="2" cm="1">
        <f t="array" aca="1" ref="DK112" ca="1">_FV(EC112,"Fechamento anterior",TRUE)</f>
        <v>2.79</v>
      </c>
      <c r="DL112" s="28">
        <f t="shared" ca="1" si="106"/>
        <v>0.62941401030731248</v>
      </c>
      <c r="DM112" s="15">
        <f t="shared" ca="1" si="134"/>
        <v>2.58952806122449</v>
      </c>
      <c r="DN112" s="15">
        <f t="shared" ca="1" si="135"/>
        <v>2.6697168367346937</v>
      </c>
      <c r="DO112" s="9"/>
      <c r="DP112" s="9"/>
      <c r="DQ112" s="9"/>
      <c r="DR112" s="89">
        <v>3.4642012170102081E-3</v>
      </c>
      <c r="DS112" s="89">
        <v>2.9875629355473297E-3</v>
      </c>
      <c r="DT112" s="89">
        <v>6.1479137109389228E-3</v>
      </c>
      <c r="DU112" s="89">
        <v>2.874149659863947E-2</v>
      </c>
      <c r="DV112" s="89">
        <f t="shared" ca="1" si="107"/>
        <v>2.874149659863947E-2</v>
      </c>
      <c r="DW112" s="72">
        <f t="shared" ca="1" si="108"/>
        <v>-0.48943204455337641</v>
      </c>
      <c r="DX112" s="37"/>
      <c r="DY112" s="35">
        <f t="shared" si="118"/>
        <v>7.1511459843083047E-2</v>
      </c>
      <c r="DZ112" s="56"/>
      <c r="EA112" s="56"/>
      <c r="EC112" s="2" t="e" vm="111">
        <v>#VALUE!</v>
      </c>
      <c r="EE112" s="10" cm="1">
        <f t="array" aca="1" ref="EE112" ca="1">_FV(EC112,"Ações em circulação",TRUE)</f>
        <v>1206361000</v>
      </c>
      <c r="EF112" s="18">
        <f>VLOOKUP(BM112,Fundamentus!A:U,5,FALSE)</f>
        <v>4.3390000000000004</v>
      </c>
      <c r="EG112" s="2">
        <f t="shared" ca="1" si="109"/>
        <v>733992403.77967262</v>
      </c>
      <c r="EH112" s="17">
        <v>246621447.66997001</v>
      </c>
      <c r="EI112" s="17">
        <f t="shared" ca="1" si="110"/>
        <v>246621447.66997001</v>
      </c>
      <c r="EK112" s="16">
        <f t="shared" ca="1" si="97"/>
        <v>0</v>
      </c>
      <c r="EL112" s="32" t="str">
        <f>IF(VLOOKUP(BM112,Fundamentus!A:U,3,FALSE)&lt;15,"Bom",IF(VLOOKUP(BM112,Fundamentus!A:U,3,FALSE)&gt;15,"Ruim","n/a"))</f>
        <v>Bom</v>
      </c>
      <c r="EM112" s="28" t="str">
        <f>IF(VLOOKUP(BM112,Fundamentus!A:U,4,FALSE)&lt;1,"Baixo",IF(VLOOKUP(BM112,Fundamentus!A:U,4,FALSE)&lt;1.5,"Moderado",IF(VLOOKUP(BM112,Fundamentus!A:U,4,FALSE)&gt;1.5,"Alto","n/a")))</f>
        <v>Moderado</v>
      </c>
      <c r="EN112" s="17" t="str">
        <f>IF(VLOOKUP(BM112,Fundamentus!A:U,8,FALSE)&lt;0,"Risco elevado",IF(VLOOKUP(BM112,Fundamentus!A:U,8,FALSE)&lt;1,"Saudável",IF(VLOOKUP(BM112,Fundamentus!A:U,8,FALSE)&lt;3,"Estável",IF(VLOOKUP(BM112,Fundamentus!A:U,8,FALSE)&gt;3,"Alerta","n/a"))))</f>
        <v>Estável</v>
      </c>
      <c r="EO112" s="28" t="str">
        <f t="shared" si="111"/>
        <v>Bom</v>
      </c>
      <c r="EP112" s="17" t="str">
        <f>IF(VLOOKUP(BM112,Fundamentus!A:U,12,FALSE)&lt;2,"Subvalorizada",IF(VLOOKUP(BM112,Fundamentus!A:U,12,FALSE)&lt;6,"Muita barata",IF(VLOOKUP(BM112,Fundamentus!A:U,12,FALSE)&lt;6,"Barata",IF(VLOOKUP(BM112,Fundamentus!A:U,12,FALSE)&lt;8,"Atrativa",IF(VLOOKUP(BM112,Fundamentus!A:U,12,FALSE)&gt;8,"Supervalorizada","n/a")))))</f>
        <v>Supervalorizada</v>
      </c>
      <c r="ER112" s="17" t="str">
        <f>IF(VLOOKUP(BM112,Fundamentus!A:U,17,FALSE)&lt;0.1,"Fraco retorno",IF(VLOOKUP(BM112,Fundamentus!A:U,17,FALSE)&gt;0.1,"Bom retorno","n/a"))</f>
        <v>Fraco retorno</v>
      </c>
      <c r="ES112" s="17" t="str">
        <f>IF(VLOOKUP(BM112,Fundamentus!A:U,16,FALSE)&lt;0.1,"Ineficiente",IF(VLOOKUP(BM112,Fundamentus!A:U,16,FALSE)&gt;0.1,"Eficiente","n/a"))</f>
        <v>Eficiente</v>
      </c>
      <c r="ET112" s="33" t="str">
        <f>IF(VLOOKUP(BM112,Fundamentus!A:U,16,FALSE)&lt;0.1,"Oper. Ineficiente",IF(VLOOKUP(BM112,Fundamentus!A:U,16,FALSE)&gt;0.1,"Oper.Eficiente","n/a"))</f>
        <v>Oper.Eficiente</v>
      </c>
      <c r="EU112" s="34">
        <f>VLOOKUP(BM112,Fundamentus!A:U,14,FALSE)</f>
        <v>0.33600000000000002</v>
      </c>
      <c r="EV112" s="17" t="str">
        <f>IF(VLOOKUP(BM112,Fundamentus!A:U,21,FALSE)&lt;0,"Negativo",IF(VLOOKUP(BM112,Fundamentus!A:U,21,FALSE)&lt;0.05,"Fraco",IF(VLOOKUP(BM112,Fundamentus!A:U,21,FALSE)&lt;0.1,"Bom",IF(VLOOKUP(BM112,Fundamentus!A:U,21,FALSE)&gt;0.1,"Muito bom","n/a"))))</f>
        <v>Muito bom</v>
      </c>
      <c r="EX112" s="29" t="str">
        <f>IF(VLOOKUP(BM112,Fundamentus!A:U,15,FALSE)&gt;1,"Bom",IF(VLOOKUP(BM112,Fundamentus!A:U,15,FALSE)&lt;1,"Ruim","n/a"))</f>
        <v>Bom</v>
      </c>
      <c r="EY112" s="17" t="str">
        <f>IF(VLOOKUP(BM112,Fundamentus!A:U,20,FALSE)&lt;0.5,"Baixa",IF(VLOOKUP(BM112,Fundamentus!A:U,20,FALSE)&lt;1,"Moderada",IF(VLOOKUP(BM112,Fundamentus!A:U,20,FALSE)&lt;2,"Alerta",IF(VLOOKUP(BM112,Fundamentus!A:U,20,FALSE)&gt;2,"Alta","n/a"))))</f>
        <v>Moderada</v>
      </c>
      <c r="EZ112" s="10"/>
    </row>
    <row r="113" spans="1:156" s="2" customFormat="1" ht="11.25" x14ac:dyDescent="0.2">
      <c r="A113" s="4">
        <v>10.25</v>
      </c>
      <c r="B113" s="4">
        <v>10.039999999999999</v>
      </c>
      <c r="C113" s="4">
        <v>9.89</v>
      </c>
      <c r="D113" s="4">
        <v>9.8800000000000008</v>
      </c>
      <c r="E113" s="4">
        <v>9.8800000000000008</v>
      </c>
      <c r="F113" s="4">
        <v>9.86</v>
      </c>
      <c r="G113" s="4">
        <v>9.8800000000000008</v>
      </c>
      <c r="H113" s="4">
        <v>9</v>
      </c>
      <c r="I113" s="4">
        <v>9.6</v>
      </c>
      <c r="J113" s="4">
        <v>9.8699999999999992</v>
      </c>
      <c r="K113" s="4">
        <v>10.06</v>
      </c>
      <c r="L113" s="4">
        <v>10.31</v>
      </c>
      <c r="M113" s="4">
        <v>10.57</v>
      </c>
      <c r="N113" s="4">
        <v>10.86</v>
      </c>
      <c r="O113" s="4">
        <v>11.5</v>
      </c>
      <c r="P113" s="4">
        <v>11.2</v>
      </c>
      <c r="Q113" s="4">
        <v>11.51</v>
      </c>
      <c r="R113" s="4">
        <v>11.17</v>
      </c>
      <c r="S113" s="4">
        <v>11.2</v>
      </c>
      <c r="T113" s="4">
        <v>11.07</v>
      </c>
      <c r="U113" s="4">
        <v>10.050000000000001</v>
      </c>
      <c r="V113" s="4">
        <v>9.99</v>
      </c>
      <c r="W113" s="4">
        <v>9.75</v>
      </c>
      <c r="X113" s="4">
        <v>9.41</v>
      </c>
      <c r="Y113" s="4">
        <v>9.15</v>
      </c>
      <c r="Z113" s="4">
        <v>9.4</v>
      </c>
      <c r="AA113" s="4">
        <v>9.89</v>
      </c>
      <c r="AB113" s="4">
        <v>9.9499999999999993</v>
      </c>
      <c r="AC113" s="4">
        <v>10.39</v>
      </c>
      <c r="AD113" s="4">
        <v>10.199999999999999</v>
      </c>
      <c r="AE113" s="4">
        <v>9.84</v>
      </c>
      <c r="AF113" s="4">
        <v>9.76</v>
      </c>
      <c r="AG113" s="4">
        <v>9.5500000000000007</v>
      </c>
      <c r="AH113" s="4">
        <v>9.4499999999999993</v>
      </c>
      <c r="AI113" s="4">
        <v>9.51</v>
      </c>
      <c r="AJ113" s="4">
        <v>9.11</v>
      </c>
      <c r="AK113" s="4">
        <v>9.42</v>
      </c>
      <c r="AL113" s="4">
        <v>9.49</v>
      </c>
      <c r="AM113" s="4">
        <v>9.9499999999999993</v>
      </c>
      <c r="AN113" s="4">
        <v>10.31</v>
      </c>
      <c r="AO113" s="4">
        <v>9.9499999999999993</v>
      </c>
      <c r="AP113" s="4">
        <v>9.9499999999999993</v>
      </c>
      <c r="AQ113" s="4">
        <v>9.61</v>
      </c>
      <c r="AR113" s="4">
        <v>7.83</v>
      </c>
      <c r="AS113" s="4">
        <v>7.62</v>
      </c>
      <c r="AT113" s="4">
        <v>7.81</v>
      </c>
      <c r="AU113" s="4">
        <v>7.86</v>
      </c>
      <c r="AV113" s="4">
        <v>7.8</v>
      </c>
      <c r="AW113" s="4">
        <v>7.51</v>
      </c>
      <c r="AX113" s="4">
        <v>7.43</v>
      </c>
      <c r="AY113" s="12">
        <v>7.55</v>
      </c>
      <c r="AZ113" s="12">
        <v>7.99</v>
      </c>
      <c r="BA113" s="12">
        <v>7.5</v>
      </c>
      <c r="BB113" s="15">
        <v>7.56</v>
      </c>
      <c r="BC113" s="52">
        <v>7.56</v>
      </c>
      <c r="BD113" s="52">
        <v>7.56</v>
      </c>
      <c r="BE113" s="52">
        <v>7.56</v>
      </c>
      <c r="BF113" s="52">
        <v>7.56</v>
      </c>
      <c r="BG113" s="67">
        <v>7.56</v>
      </c>
      <c r="BH113" s="52">
        <v>7.56</v>
      </c>
      <c r="BI113" s="52">
        <v>7.56</v>
      </c>
      <c r="BJ113" s="52">
        <v>7.56</v>
      </c>
      <c r="BK113" s="52">
        <v>7.56</v>
      </c>
      <c r="BL113" s="52">
        <v>7.56</v>
      </c>
      <c r="BM113" s="69" t="s">
        <v>109</v>
      </c>
      <c r="BN113" s="36" cm="1">
        <f t="array" aca="1" ref="BN113" ca="1">_FV(EC113,"Média de volume",TRUE)</f>
        <v>997270</v>
      </c>
      <c r="BO113" s="36">
        <v>1437200</v>
      </c>
      <c r="BP113" s="36" cm="1">
        <f t="array" aca="1" ref="BP113" ca="1">_FV(EC113,"Volume")</f>
        <v>1437200</v>
      </c>
      <c r="BQ113" s="24" cm="1">
        <f t="array" aca="1" ref="BQ113" ca="1">_FV(EC113,"Beta")</f>
        <v>0.91300000000000003</v>
      </c>
      <c r="BR113" s="71" cm="1">
        <f t="array" aca="1" ref="BR113" ca="1">_FV(EC113,"Variação (%)",TRUE)</f>
        <v>-1.0296000000000001E-2</v>
      </c>
      <c r="BT113" s="17" cm="1">
        <f t="array" aca="1" ref="BT113" ca="1">_FV(EC113,"Baixo")</f>
        <v>7.57</v>
      </c>
      <c r="BU113" s="17" cm="1">
        <f t="array" aca="1" ref="BU113" ca="1">_FV(EC113,"Alto")</f>
        <v>7.84</v>
      </c>
      <c r="BV113" s="24"/>
      <c r="BW113" s="63">
        <f>SQRT(22.5*(BL113/VLOOKUP(BM113,Fundamentus!A:U,3,FALSE))*(BL113/VLOOKUP(BM113,Fundamentus!A:U,4,FALSE)))</f>
        <v>8.3505698013645429</v>
      </c>
      <c r="BY113" s="62">
        <f t="shared" si="112"/>
        <v>0</v>
      </c>
      <c r="BZ113" s="8"/>
      <c r="CA113" s="61">
        <f t="shared" si="113"/>
        <v>7.43</v>
      </c>
      <c r="CB113" s="61">
        <f t="shared" si="114"/>
        <v>11.51</v>
      </c>
      <c r="CC113" s="61">
        <f t="shared" si="115"/>
        <v>9.2726984126984036</v>
      </c>
      <c r="CD113" s="14"/>
      <c r="CE113" s="35">
        <f t="shared" si="98"/>
        <v>7.56</v>
      </c>
      <c r="CF113" s="15">
        <f t="shared" si="116"/>
        <v>7.56</v>
      </c>
      <c r="CG113" s="35">
        <f t="shared" si="99"/>
        <v>7.56</v>
      </c>
      <c r="CI113" s="14"/>
      <c r="CJ113" s="17">
        <f t="shared" si="100"/>
        <v>2.0766666666666644</v>
      </c>
      <c r="CK113" s="17">
        <f t="shared" si="101"/>
        <v>4.7533333333333321</v>
      </c>
      <c r="CL113" s="17">
        <f t="shared" si="102"/>
        <v>6.1566666666666645</v>
      </c>
      <c r="CM113" s="38">
        <f t="shared" si="117"/>
        <v>8.8333333333333321</v>
      </c>
      <c r="CN113" s="17">
        <f t="shared" si="103"/>
        <v>10.236666666666665</v>
      </c>
      <c r="CO113" s="17">
        <f t="shared" si="104"/>
        <v>12.913333333333332</v>
      </c>
      <c r="CP113" s="17">
        <f t="shared" si="105"/>
        <v>14.316666666666665</v>
      </c>
      <c r="CQ113" s="2" cm="1">
        <f t="array" ref="CQ113">MAX(_xlfn._xlws.FILTER(CJ113:CP113,CJ113:CP113&lt;BL113))</f>
        <v>6.1566666666666645</v>
      </c>
      <c r="CR113" s="2" cm="1">
        <f t="array" ref="CR113">MIN(_xlfn._xlws.FILTER($CJ113:$CP113,$CJ113:$CP113&gt;BL113))</f>
        <v>8.8333333333333321</v>
      </c>
      <c r="CS113" s="16">
        <f t="shared" si="119"/>
        <v>0.43475906876015191</v>
      </c>
      <c r="CT113" s="20">
        <f t="shared" si="120"/>
        <v>-0.21737953438007596</v>
      </c>
      <c r="CU113" s="20">
        <f t="shared" si="121"/>
        <v>-0.1449196895867173</v>
      </c>
      <c r="CV113" s="20">
        <f t="shared" si="122"/>
        <v>-8.6951813752030385E-2</v>
      </c>
      <c r="CW113" s="20">
        <f t="shared" si="123"/>
        <v>-4.8306563195572437E-2</v>
      </c>
      <c r="CX113" s="20">
        <f t="shared" si="124"/>
        <v>-2.5574062868244232E-2</v>
      </c>
      <c r="CY113" s="20">
        <f t="shared" si="125"/>
        <v>-1.3174517235156119E-2</v>
      </c>
      <c r="CZ113" s="20">
        <f t="shared" si="126"/>
        <v>-6.6886010578484914E-3</v>
      </c>
      <c r="DA113" s="21">
        <f t="shared" si="127"/>
        <v>6.6886010578484914E-3</v>
      </c>
      <c r="DB113" s="21">
        <f t="shared" si="128"/>
        <v>1.3174517235156119E-2</v>
      </c>
      <c r="DC113" s="21">
        <f t="shared" si="129"/>
        <v>2.5574062868244232E-2</v>
      </c>
      <c r="DD113" s="21">
        <f t="shared" si="130"/>
        <v>4.8306563195572437E-2</v>
      </c>
      <c r="DE113" s="21">
        <f t="shared" si="131"/>
        <v>8.6951813752030385E-2</v>
      </c>
      <c r="DF113" s="21">
        <f t="shared" si="132"/>
        <v>0.1449196895867173</v>
      </c>
      <c r="DG113" s="21">
        <f t="shared" si="133"/>
        <v>0.21737953438007596</v>
      </c>
      <c r="DI113" s="16" cm="1">
        <f t="array" aca="1" ref="DI113" ca="1">MAX(_xlfn._xlws.FILTER(CT113:DG113,CT113:DG113&lt;BR113))</f>
        <v>-1.3174517235156119E-2</v>
      </c>
      <c r="DJ113" s="16" cm="1">
        <f t="array" aca="1" ref="DJ113" ca="1">MIN(_xlfn._xlws.FILTER(CT113:DG113,CT113:DG113&gt;BR113))</f>
        <v>-6.6886010578484914E-3</v>
      </c>
      <c r="DK113" s="2" cm="1">
        <f t="array" aca="1" ref="DK113" ca="1">_FV(EC113,"Fechamento anterior",TRUE)</f>
        <v>7.77</v>
      </c>
      <c r="DL113" s="28">
        <f t="shared" ca="1" si="106"/>
        <v>-2.1357830433172968</v>
      </c>
      <c r="DM113" s="15">
        <f t="shared" ca="1" si="134"/>
        <v>7.6676340010828365</v>
      </c>
      <c r="DN113" s="15">
        <f t="shared" ca="1" si="135"/>
        <v>7.7180295697805166</v>
      </c>
      <c r="DO113" s="9"/>
      <c r="DP113" s="9"/>
      <c r="DQ113" s="9"/>
      <c r="DR113" s="89">
        <v>1.2525527569775357E-2</v>
      </c>
      <c r="DS113" s="89">
        <v>1.2399545633088113E-2</v>
      </c>
      <c r="DT113" s="89">
        <v>6.4859161773076273E-3</v>
      </c>
      <c r="DU113" s="89">
        <v>6.4859161773076273E-3</v>
      </c>
      <c r="DV113" s="89">
        <f t="shared" ca="1" si="107"/>
        <v>6.4859161773076273E-3</v>
      </c>
      <c r="DW113" s="72" t="e">
        <f t="shared" si="108"/>
        <v>#DIV/0!</v>
      </c>
      <c r="DX113" s="37"/>
      <c r="DY113" s="35">
        <f t="shared" si="118"/>
        <v>0</v>
      </c>
      <c r="DZ113" s="56"/>
      <c r="EA113" s="56"/>
      <c r="EC113" s="2" t="e" vm="112">
        <v>#VALUE!</v>
      </c>
      <c r="EE113" s="10" cm="1">
        <f t="array" aca="1" ref="EE113" ca="1">_FV(EC113,"Ações em circulação",TRUE)</f>
        <v>179720100</v>
      </c>
      <c r="EF113" s="18">
        <f>VLOOKUP(BM113,Fundamentus!A:U,5,FALSE)</f>
        <v>0.95199999999999996</v>
      </c>
      <c r="EG113" s="2">
        <f t="shared" ca="1" si="109"/>
        <v>1427189029.4117649</v>
      </c>
      <c r="EH113" s="17">
        <v>155420885.3029412</v>
      </c>
      <c r="EI113" s="17">
        <f t="shared" ca="1" si="110"/>
        <v>155420885.3029412</v>
      </c>
      <c r="EK113" s="16">
        <f t="shared" ca="1" si="97"/>
        <v>0</v>
      </c>
      <c r="EL113" s="32" t="str">
        <f>IF(VLOOKUP(BM113,Fundamentus!A:U,3,FALSE)&lt;15,"Bom",IF(VLOOKUP(BM113,Fundamentus!A:U,3,FALSE)&gt;15,"Ruim","n/a"))</f>
        <v>Bom</v>
      </c>
      <c r="EM113" s="28" t="str">
        <f>IF(VLOOKUP(BM113,Fundamentus!A:U,4,FALSE)&lt;1,"Baixo",IF(VLOOKUP(BM113,Fundamentus!A:U,4,FALSE)&lt;1.5,"Moderado",IF(VLOOKUP(BM113,Fundamentus!A:U,4,FALSE)&gt;1.5,"Alto","n/a")))</f>
        <v>Alto</v>
      </c>
      <c r="EN113" s="17" t="str">
        <f>IF(VLOOKUP(BM113,Fundamentus!A:U,8,FALSE)&lt;0,"Risco elevado",IF(VLOOKUP(BM113,Fundamentus!A:U,8,FALSE)&lt;1,"Saudável",IF(VLOOKUP(BM113,Fundamentus!A:U,8,FALSE)&lt;3,"Estável",IF(VLOOKUP(BM113,Fundamentus!A:U,8,FALSE)&gt;3,"Alerta","n/a"))))</f>
        <v>n/a</v>
      </c>
      <c r="EO113" s="28" t="str">
        <f t="shared" si="111"/>
        <v>Ruim</v>
      </c>
      <c r="EP113" s="17" t="str">
        <f>IF(VLOOKUP(BM113,Fundamentus!A:U,12,FALSE)&lt;2,"Subvalorizada",IF(VLOOKUP(BM113,Fundamentus!A:U,12,FALSE)&lt;6,"Muita barata",IF(VLOOKUP(BM113,Fundamentus!A:U,12,FALSE)&lt;6,"Barata",IF(VLOOKUP(BM113,Fundamentus!A:U,12,FALSE)&lt;8,"Atrativa",IF(VLOOKUP(BM113,Fundamentus!A:U,12,FALSE)&gt;8,"Supervalorizada","n/a")))))</f>
        <v>Muita barata</v>
      </c>
      <c r="ER113" s="17" t="str">
        <f>IF(VLOOKUP(BM113,Fundamentus!A:U,17,FALSE)&lt;0.1,"Fraco retorno",IF(VLOOKUP(BM113,Fundamentus!A:U,17,FALSE)&gt;0.1,"Bom retorno","n/a"))</f>
        <v>Bom retorno</v>
      </c>
      <c r="ES113" s="17" t="str">
        <f>IF(VLOOKUP(BM113,Fundamentus!A:U,16,FALSE)&lt;0.1,"Ineficiente",IF(VLOOKUP(BM113,Fundamentus!A:U,16,FALSE)&gt;0.1,"Eficiente","n/a"))</f>
        <v>Eficiente</v>
      </c>
      <c r="ET113" s="33" t="str">
        <f>IF(VLOOKUP(BM113,Fundamentus!A:U,16,FALSE)&lt;0.1,"Oper. Ineficiente",IF(VLOOKUP(BM113,Fundamentus!A:U,16,FALSE)&gt;0.1,"Oper.Eficiente","n/a"))</f>
        <v>Oper.Eficiente</v>
      </c>
      <c r="EU113" s="34">
        <f>VLOOKUP(BM113,Fundamentus!A:U,14,FALSE)</f>
        <v>0.1089</v>
      </c>
      <c r="EV113" s="17" t="str">
        <f>IF(VLOOKUP(BM113,Fundamentus!A:U,21,FALSE)&lt;0,"Negativo",IF(VLOOKUP(BM113,Fundamentus!A:U,21,FALSE)&lt;0.05,"Fraco",IF(VLOOKUP(BM113,Fundamentus!A:U,21,FALSE)&lt;0.1,"Bom",IF(VLOOKUP(BM113,Fundamentus!A:U,21,FALSE)&gt;0.1,"Muito bom","n/a"))))</f>
        <v>Muito bom</v>
      </c>
      <c r="EX113" s="29" t="str">
        <f>IF(VLOOKUP(BM113,Fundamentus!A:U,15,FALSE)&gt;1,"Bom",IF(VLOOKUP(BM113,Fundamentus!A:U,15,FALSE)&lt;1,"Ruim","n/a"))</f>
        <v>Bom</v>
      </c>
      <c r="EY113" s="17" t="str">
        <f>IF(VLOOKUP(BM113,Fundamentus!A:U,20,FALSE)&lt;0.5,"Baixa",IF(VLOOKUP(BM113,Fundamentus!A:U,20,FALSE)&lt;1,"Moderada",IF(VLOOKUP(BM113,Fundamentus!A:U,20,FALSE)&lt;2,"Alerta",IF(VLOOKUP(BM113,Fundamentus!A:U,20,FALSE)&gt;2,"Alta","n/a"))))</f>
        <v>Baixa</v>
      </c>
      <c r="EZ113" s="10"/>
    </row>
    <row r="114" spans="1:156" s="2" customFormat="1" ht="11.25" x14ac:dyDescent="0.2">
      <c r="A114" s="4">
        <v>16.399999999999999</v>
      </c>
      <c r="B114" s="4">
        <v>15.76</v>
      </c>
      <c r="C114" s="4">
        <v>14.73</v>
      </c>
      <c r="D114" s="4">
        <v>13.36</v>
      </c>
      <c r="E114" s="4">
        <v>13.12</v>
      </c>
      <c r="F114" s="4">
        <v>13.17</v>
      </c>
      <c r="G114" s="4">
        <v>12.79</v>
      </c>
      <c r="H114" s="4">
        <v>12.53</v>
      </c>
      <c r="I114" s="4">
        <v>12.53</v>
      </c>
      <c r="J114" s="4">
        <v>13.35</v>
      </c>
      <c r="K114" s="4">
        <v>13.55</v>
      </c>
      <c r="L114" s="4">
        <v>13.05</v>
      </c>
      <c r="M114" s="4">
        <v>13.33</v>
      </c>
      <c r="N114" s="4">
        <v>13.76</v>
      </c>
      <c r="O114" s="4">
        <v>15.45</v>
      </c>
      <c r="P114" s="4">
        <v>16.03</v>
      </c>
      <c r="Q114" s="4">
        <v>17.75</v>
      </c>
      <c r="R114" s="4">
        <v>17.010000000000002</v>
      </c>
      <c r="S114" s="4">
        <v>17.72</v>
      </c>
      <c r="T114" s="4">
        <v>18.940000000000001</v>
      </c>
      <c r="U114" s="4">
        <v>18.04</v>
      </c>
      <c r="V114" s="4">
        <v>17.829999999999998</v>
      </c>
      <c r="W114" s="4">
        <v>18.11</v>
      </c>
      <c r="X114" s="4">
        <v>18.71</v>
      </c>
      <c r="Y114" s="4">
        <v>18.100000000000001</v>
      </c>
      <c r="Z114" s="4">
        <v>18.47</v>
      </c>
      <c r="AA114" s="4">
        <v>18.11</v>
      </c>
      <c r="AB114" s="4">
        <v>16.97</v>
      </c>
      <c r="AC114" s="4">
        <v>16.489999999999998</v>
      </c>
      <c r="AD114" s="4">
        <v>16.149999999999999</v>
      </c>
      <c r="AE114" s="4">
        <v>15.07</v>
      </c>
      <c r="AF114" s="4">
        <v>15.63</v>
      </c>
      <c r="AG114" s="4">
        <v>13.66</v>
      </c>
      <c r="AH114" s="4">
        <v>12.63</v>
      </c>
      <c r="AI114" s="4">
        <v>12.22</v>
      </c>
      <c r="AJ114" s="4">
        <v>12.15</v>
      </c>
      <c r="AK114" s="4">
        <v>12.84</v>
      </c>
      <c r="AL114" s="4">
        <v>12.33</v>
      </c>
      <c r="AM114" s="4">
        <v>13.17</v>
      </c>
      <c r="AN114" s="4">
        <v>13.65</v>
      </c>
      <c r="AO114" s="4">
        <v>12.83</v>
      </c>
      <c r="AP114" s="4">
        <v>13.65</v>
      </c>
      <c r="AQ114" s="4">
        <v>11.79</v>
      </c>
      <c r="AR114" s="4">
        <v>11.33</v>
      </c>
      <c r="AS114" s="4">
        <v>11.92</v>
      </c>
      <c r="AT114" s="4">
        <v>12.03</v>
      </c>
      <c r="AU114" s="4">
        <v>12.265000000000001</v>
      </c>
      <c r="AV114" s="4">
        <v>12.54</v>
      </c>
      <c r="AW114" s="4">
        <v>12.65</v>
      </c>
      <c r="AX114" s="4">
        <v>12.8</v>
      </c>
      <c r="AY114" s="12">
        <v>12.8</v>
      </c>
      <c r="AZ114" s="12">
        <v>13.84</v>
      </c>
      <c r="BA114" s="12">
        <v>14.61</v>
      </c>
      <c r="BB114" s="15">
        <v>15.44</v>
      </c>
      <c r="BC114" s="52">
        <v>17.420000000000002</v>
      </c>
      <c r="BD114" s="52">
        <v>17.600000000000001</v>
      </c>
      <c r="BE114" s="52">
        <v>18.16</v>
      </c>
      <c r="BF114" s="52">
        <v>17.559999999999999</v>
      </c>
      <c r="BG114" s="67">
        <v>18.36</v>
      </c>
      <c r="BH114" s="52">
        <v>18.559999999999999</v>
      </c>
      <c r="BI114" s="52">
        <v>19.559999999999999</v>
      </c>
      <c r="BJ114" s="52">
        <v>19.34</v>
      </c>
      <c r="BK114" s="52">
        <v>18.600000000000001</v>
      </c>
      <c r="BL114" s="52" cm="1">
        <f t="array" aca="1" ref="BL114" ca="1">_FV(EC114,"Preço")</f>
        <v>18.600000000000001</v>
      </c>
      <c r="BM114" s="69" t="s">
        <v>205</v>
      </c>
      <c r="BN114" s="36" cm="1">
        <f t="array" aca="1" ref="BN114" ca="1">_FV(EC114,"Média de volume",TRUE)</f>
        <v>11934090</v>
      </c>
      <c r="BO114" s="36">
        <v>12820300</v>
      </c>
      <c r="BP114" s="36" cm="1">
        <f t="array" aca="1" ref="BP114" ca="1">_FV(EC114,"Volume")</f>
        <v>12820300</v>
      </c>
      <c r="BQ114" s="24" cm="1">
        <f t="array" aca="1" ref="BQ114" ca="1">_FV(EC114,"Beta")</f>
        <v>1.7378</v>
      </c>
      <c r="BR114" s="71" cm="1">
        <f t="array" aca="1" ref="BR114" ca="1">_FV(EC114,"Variação (%)",TRUE)</f>
        <v>-2.9228000000000001E-2</v>
      </c>
      <c r="BT114" s="17" cm="1">
        <f t="array" aca="1" ref="BT114" ca="1">_FV(EC114,"Baixo")</f>
        <v>18.440000000000001</v>
      </c>
      <c r="BU114" s="17" cm="1">
        <f t="array" aca="1" ref="BU114" ca="1">_FV(EC114,"Alto")</f>
        <v>19.07</v>
      </c>
      <c r="BV114" s="24"/>
      <c r="BW114" s="63">
        <f ca="1">SQRT(22.5*(BL114/VLOOKUP(BM114,Fundamentus!A:U,3,FALSE))*(BL114/VLOOKUP(BM114,Fundamentus!A:U,4,FALSE)))</f>
        <v>16.45000275307908</v>
      </c>
      <c r="BY114" s="62">
        <f t="shared" ca="1" si="112"/>
        <v>0</v>
      </c>
      <c r="BZ114" s="8"/>
      <c r="CA114" s="61">
        <f t="shared" si="113"/>
        <v>11.33</v>
      </c>
      <c r="CB114" s="61">
        <f t="shared" si="114"/>
        <v>19.559999999999999</v>
      </c>
      <c r="CC114" s="61">
        <f t="shared" si="115"/>
        <v>15.084365079365076</v>
      </c>
      <c r="CD114" s="14"/>
      <c r="CE114" s="35">
        <f t="shared" si="98"/>
        <v>17.697005119752717</v>
      </c>
      <c r="CF114" s="15">
        <f t="shared" si="116"/>
        <v>19.009999999999991</v>
      </c>
      <c r="CG114" s="35">
        <f t="shared" si="99"/>
        <v>20.322994880247265</v>
      </c>
      <c r="CI114" s="14"/>
      <c r="CJ114" s="17">
        <f t="shared" si="100"/>
        <v>5.6966666666666743</v>
      </c>
      <c r="CK114" s="17">
        <f t="shared" si="101"/>
        <v>8.5133333333333372</v>
      </c>
      <c r="CL114" s="17">
        <f t="shared" si="102"/>
        <v>13.926666666666673</v>
      </c>
      <c r="CM114" s="38">
        <f t="shared" si="117"/>
        <v>16.743333333333336</v>
      </c>
      <c r="CN114" s="17">
        <f t="shared" si="103"/>
        <v>22.156666666666673</v>
      </c>
      <c r="CO114" s="17">
        <f t="shared" si="104"/>
        <v>24.973333333333336</v>
      </c>
      <c r="CP114" s="17">
        <f t="shared" si="105"/>
        <v>30.38666666666667</v>
      </c>
      <c r="CQ114" s="2" cm="1">
        <f t="array" aca="1" ref="CQ114" ca="1">MAX(_xlfn._xlws.FILTER(CJ114:CP114,CJ114:CP114&lt;BL114))</f>
        <v>16.743333333333336</v>
      </c>
      <c r="CR114" s="2" cm="1">
        <f t="array" aca="1" ref="CR114" ca="1">MIN(_xlfn._xlws.FILTER($CJ114:$CP114,$CJ114:$CP114&gt;BL114))</f>
        <v>22.156666666666673</v>
      </c>
      <c r="CS114" s="16">
        <f t="shared" ca="1" si="119"/>
        <v>0.32331276129802933</v>
      </c>
      <c r="CT114" s="20">
        <f t="shared" ca="1" si="120"/>
        <v>-0.16165638064901466</v>
      </c>
      <c r="CU114" s="20">
        <f t="shared" ca="1" si="121"/>
        <v>-0.10777092043267644</v>
      </c>
      <c r="CV114" s="20">
        <f t="shared" ca="1" si="122"/>
        <v>-6.4662552259605863E-2</v>
      </c>
      <c r="CW114" s="20">
        <f t="shared" ca="1" si="123"/>
        <v>-3.5923640144225479E-2</v>
      </c>
      <c r="CX114" s="20">
        <f t="shared" ca="1" si="124"/>
        <v>-1.9018397723413488E-2</v>
      </c>
      <c r="CY114" s="20">
        <f t="shared" ca="1" si="125"/>
        <v>-9.7973564029705858E-3</v>
      </c>
      <c r="CZ114" s="20">
        <f t="shared" ca="1" si="126"/>
        <v>-4.9740424815081438E-3</v>
      </c>
      <c r="DA114" s="21">
        <f t="shared" ca="1" si="127"/>
        <v>4.9740424815081438E-3</v>
      </c>
      <c r="DB114" s="21">
        <f t="shared" ca="1" si="128"/>
        <v>9.7973564029705858E-3</v>
      </c>
      <c r="DC114" s="21">
        <f t="shared" ca="1" si="129"/>
        <v>1.9018397723413488E-2</v>
      </c>
      <c r="DD114" s="21">
        <f t="shared" ca="1" si="130"/>
        <v>3.5923640144225479E-2</v>
      </c>
      <c r="DE114" s="21">
        <f t="shared" ca="1" si="131"/>
        <v>6.4662552259605863E-2</v>
      </c>
      <c r="DF114" s="21">
        <f t="shared" ca="1" si="132"/>
        <v>0.10777092043267644</v>
      </c>
      <c r="DG114" s="21">
        <f t="shared" ca="1" si="133"/>
        <v>0.16165638064901466</v>
      </c>
      <c r="DI114" s="16" cm="1">
        <f t="array" aca="1" ref="DI114" ca="1">MAX(_xlfn._xlws.FILTER(CT114:DG114,CT114:DG114&lt;BR114))</f>
        <v>-3.5923640144225479E-2</v>
      </c>
      <c r="DJ114" s="16" cm="1">
        <f t="array" aca="1" ref="DJ114" ca="1">MIN(_xlfn._xlws.FILTER(CT114:DG114,CT114:DG114&gt;BR114))</f>
        <v>-1.9018397723413488E-2</v>
      </c>
      <c r="DK114" s="2" cm="1">
        <f t="array" aca="1" ref="DK114" ca="1">_FV(EC114,"Fechamento anterior",TRUE)</f>
        <v>19.16</v>
      </c>
      <c r="DL114" s="28">
        <f t="shared" ca="1" si="106"/>
        <v>0.39609504355338293</v>
      </c>
      <c r="DM114" s="15">
        <f t="shared" ca="1" si="134"/>
        <v>18.471703054836642</v>
      </c>
      <c r="DN114" s="15">
        <f t="shared" ca="1" si="135"/>
        <v>18.795607499619397</v>
      </c>
      <c r="DO114" s="9"/>
      <c r="DP114" s="9"/>
      <c r="DQ114" s="9"/>
      <c r="DR114" s="89">
        <v>2.4150655905530546E-2</v>
      </c>
      <c r="DS114" s="89">
        <v>9.2630380107246307E-3</v>
      </c>
      <c r="DT114" s="89">
        <v>9.9480849630162876E-3</v>
      </c>
      <c r="DU114" s="89">
        <v>1.690524242081199E-2</v>
      </c>
      <c r="DV114" s="89">
        <f t="shared" ca="1" si="107"/>
        <v>1.690524242081199E-2</v>
      </c>
      <c r="DW114" s="72">
        <f t="shared" ca="1" si="108"/>
        <v>-0.31226321303155036</v>
      </c>
      <c r="DX114" s="37"/>
      <c r="DY114" s="35">
        <f t="shared" si="118"/>
        <v>0.65649744012363753</v>
      </c>
      <c r="DZ114" s="56"/>
      <c r="EA114" s="56"/>
      <c r="EC114" s="2" t="e" vm="113">
        <v>#VALUE!</v>
      </c>
      <c r="EE114" s="10" cm="1">
        <f t="array" aca="1" ref="EE114" ca="1">_FV(EC114,"Ações em circulação",TRUE)</f>
        <v>1059550000</v>
      </c>
      <c r="EF114" s="18">
        <f>VLOOKUP(BM114,Fundamentus!A:U,5,FALSE)</f>
        <v>1.3160000000000001</v>
      </c>
      <c r="EG114" s="2">
        <f t="shared" ca="1" si="109"/>
        <v>14975402735.562309</v>
      </c>
      <c r="EH114" s="17">
        <v>1295372336.6261396</v>
      </c>
      <c r="EI114" s="17">
        <f t="shared" ca="1" si="110"/>
        <v>1295372336.6261396</v>
      </c>
      <c r="EK114" s="16">
        <f t="shared" ca="1" si="97"/>
        <v>0</v>
      </c>
      <c r="EL114" s="32" t="str">
        <f>IF(VLOOKUP(BM114,Fundamentus!A:U,3,FALSE)&lt;15,"Bom",IF(VLOOKUP(BM114,Fundamentus!A:U,3,FALSE)&gt;15,"Ruim","n/a"))</f>
        <v>Ruim</v>
      </c>
      <c r="EM114" s="28" t="str">
        <f>IF(VLOOKUP(BM114,Fundamentus!A:U,4,FALSE)&lt;1,"Baixo",IF(VLOOKUP(BM114,Fundamentus!A:U,4,FALSE)&lt;1.5,"Moderado",IF(VLOOKUP(BM114,Fundamentus!A:U,4,FALSE)&gt;1.5,"Alto","n/a")))</f>
        <v>Alto</v>
      </c>
      <c r="EN114" s="17" t="str">
        <f>IF(VLOOKUP(BM114,Fundamentus!A:U,8,FALSE)&lt;0,"Risco elevado",IF(VLOOKUP(BM114,Fundamentus!A:U,8,FALSE)&lt;1,"Saudável",IF(VLOOKUP(BM114,Fundamentus!A:U,8,FALSE)&lt;3,"Estável",IF(VLOOKUP(BM114,Fundamentus!A:U,8,FALSE)&gt;3,"Alerta","n/a"))))</f>
        <v>Alerta</v>
      </c>
      <c r="EO114" s="28" t="str">
        <f t="shared" si="111"/>
        <v>Bom</v>
      </c>
      <c r="EP114" s="17" t="str">
        <f>IF(VLOOKUP(BM114,Fundamentus!A:U,12,FALSE)&lt;2,"Subvalorizada",IF(VLOOKUP(BM114,Fundamentus!A:U,12,FALSE)&lt;6,"Muita barata",IF(VLOOKUP(BM114,Fundamentus!A:U,12,FALSE)&lt;6,"Barata",IF(VLOOKUP(BM114,Fundamentus!A:U,12,FALSE)&lt;8,"Atrativa",IF(VLOOKUP(BM114,Fundamentus!A:U,12,FALSE)&gt;8,"Supervalorizada","n/a")))))</f>
        <v>Muita barata</v>
      </c>
      <c r="ER114" s="17" t="str">
        <f>IF(VLOOKUP(BM114,Fundamentus!A:U,17,FALSE)&lt;0.1,"Fraco retorno",IF(VLOOKUP(BM114,Fundamentus!A:U,17,FALSE)&gt;0.1,"Bom retorno","n/a"))</f>
        <v>Bom retorno</v>
      </c>
      <c r="ES114" s="17" t="str">
        <f>IF(VLOOKUP(BM114,Fundamentus!A:U,16,FALSE)&lt;0.1,"Ineficiente",IF(VLOOKUP(BM114,Fundamentus!A:U,16,FALSE)&gt;0.1,"Eficiente","n/a"))</f>
        <v>Eficiente</v>
      </c>
      <c r="ET114" s="33" t="str">
        <f>IF(VLOOKUP(BM114,Fundamentus!A:U,16,FALSE)&lt;0.1,"Oper. Ineficiente",IF(VLOOKUP(BM114,Fundamentus!A:U,16,FALSE)&gt;0.1,"Oper.Eficiente","n/a"))</f>
        <v>Oper.Eficiente</v>
      </c>
      <c r="EU114" s="34">
        <f>VLOOKUP(BM114,Fundamentus!A:U,14,FALSE)</f>
        <v>8.6499999999999994E-2</v>
      </c>
      <c r="EV114" s="17" t="str">
        <f>IF(VLOOKUP(BM114,Fundamentus!A:U,21,FALSE)&lt;0,"Negativo",IF(VLOOKUP(BM114,Fundamentus!A:U,21,FALSE)&lt;0.05,"Fraco",IF(VLOOKUP(BM114,Fundamentus!A:U,21,FALSE)&lt;0.1,"Bom",IF(VLOOKUP(BM114,Fundamentus!A:U,21,FALSE)&gt;0.1,"Muito bom","n/a"))))</f>
        <v>Muito bom</v>
      </c>
      <c r="EX114" s="29" t="str">
        <f>IF(VLOOKUP(BM114,Fundamentus!A:U,15,FALSE)&gt;1,"Bom",IF(VLOOKUP(BM114,Fundamentus!A:U,15,FALSE)&lt;1,"Ruim","n/a"))</f>
        <v>Bom</v>
      </c>
      <c r="EY114" s="17" t="str">
        <f>IF(VLOOKUP(BM114,Fundamentus!A:U,20,FALSE)&lt;0.5,"Baixa",IF(VLOOKUP(BM114,Fundamentus!A:U,20,FALSE)&lt;1,"Moderada",IF(VLOOKUP(BM114,Fundamentus!A:U,20,FALSE)&lt;2,"Alerta",IF(VLOOKUP(BM114,Fundamentus!A:U,20,FALSE)&gt;2,"Alta","n/a"))))</f>
        <v>Baixa</v>
      </c>
      <c r="EZ114" s="10">
        <v>1</v>
      </c>
    </row>
    <row r="115" spans="1:156" s="2" customFormat="1" ht="11.25" x14ac:dyDescent="0.2">
      <c r="A115" s="4">
        <v>9.56</v>
      </c>
      <c r="B115" s="4">
        <v>10.4</v>
      </c>
      <c r="C115" s="4">
        <v>11.52</v>
      </c>
      <c r="D115" s="4">
        <v>11.68</v>
      </c>
      <c r="E115" s="4">
        <v>11.23</v>
      </c>
      <c r="F115" s="4">
        <v>11.12</v>
      </c>
      <c r="G115" s="4">
        <v>10.52</v>
      </c>
      <c r="H115" s="4">
        <v>11.25</v>
      </c>
      <c r="I115" s="4">
        <v>12.27</v>
      </c>
      <c r="J115" s="4">
        <v>12.33</v>
      </c>
      <c r="K115" s="4">
        <v>12.26</v>
      </c>
      <c r="L115" s="4">
        <v>11.2</v>
      </c>
      <c r="M115" s="4">
        <v>11.35</v>
      </c>
      <c r="N115" s="4">
        <v>11.52</v>
      </c>
      <c r="O115" s="4">
        <v>12.12</v>
      </c>
      <c r="P115" s="4">
        <v>12.88</v>
      </c>
      <c r="Q115" s="4">
        <v>14.56</v>
      </c>
      <c r="R115" s="4">
        <v>14.56</v>
      </c>
      <c r="S115" s="4">
        <v>14.48</v>
      </c>
      <c r="T115" s="4">
        <v>14.42</v>
      </c>
      <c r="U115" s="4">
        <v>14.26</v>
      </c>
      <c r="V115" s="4">
        <v>13.84</v>
      </c>
      <c r="W115" s="4">
        <v>13.46</v>
      </c>
      <c r="X115" s="4">
        <v>12.7</v>
      </c>
      <c r="Y115" s="4">
        <v>14.5</v>
      </c>
      <c r="Z115" s="4">
        <v>14.45</v>
      </c>
      <c r="AA115" s="4">
        <v>15.37</v>
      </c>
      <c r="AB115" s="4">
        <v>15.08</v>
      </c>
      <c r="AC115" s="4">
        <v>16.899999999999999</v>
      </c>
      <c r="AD115" s="4">
        <v>18.2</v>
      </c>
      <c r="AE115" s="4">
        <v>18.77</v>
      </c>
      <c r="AF115" s="4">
        <v>19.489999999999998</v>
      </c>
      <c r="AG115" s="4">
        <v>16.64</v>
      </c>
      <c r="AH115" s="4">
        <v>16.66</v>
      </c>
      <c r="AI115" s="4">
        <v>16.600000000000001</v>
      </c>
      <c r="AJ115" s="4">
        <v>16.850000000000001</v>
      </c>
      <c r="AK115" s="4">
        <v>16.86</v>
      </c>
      <c r="AL115" s="4">
        <v>15.48</v>
      </c>
      <c r="AM115" s="4">
        <v>15.65</v>
      </c>
      <c r="AN115" s="4">
        <v>15.89</v>
      </c>
      <c r="AO115" s="4">
        <v>14.84</v>
      </c>
      <c r="AP115" s="4">
        <v>14.44</v>
      </c>
      <c r="AQ115" s="4">
        <v>13.79</v>
      </c>
      <c r="AR115" s="4">
        <v>13.63</v>
      </c>
      <c r="AS115" s="4">
        <v>14.85</v>
      </c>
      <c r="AT115" s="4">
        <v>15.26</v>
      </c>
      <c r="AU115" s="4">
        <v>17.484999999999999</v>
      </c>
      <c r="AV115" s="4">
        <v>18.059999999999999</v>
      </c>
      <c r="AW115" s="4">
        <v>18.55</v>
      </c>
      <c r="AX115" s="4">
        <v>20.16</v>
      </c>
      <c r="AY115" s="12">
        <v>20.7</v>
      </c>
      <c r="AZ115" s="12">
        <v>22.85</v>
      </c>
      <c r="BA115" s="12">
        <v>21.48</v>
      </c>
      <c r="BB115" s="15">
        <v>20.45</v>
      </c>
      <c r="BC115" s="52">
        <v>20.66</v>
      </c>
      <c r="BD115" s="52">
        <v>24.84</v>
      </c>
      <c r="BE115" s="52">
        <v>25.41</v>
      </c>
      <c r="BF115" s="52">
        <v>24.53</v>
      </c>
      <c r="BG115" s="67">
        <v>25.18</v>
      </c>
      <c r="BH115" s="52">
        <v>23.32</v>
      </c>
      <c r="BI115" s="52">
        <v>22.5</v>
      </c>
      <c r="BJ115" s="52">
        <v>22.23</v>
      </c>
      <c r="BK115" s="52">
        <v>23</v>
      </c>
      <c r="BL115" s="52" cm="1">
        <f t="array" aca="1" ref="BL115" ca="1">_FV(EC115,"Preço")</f>
        <v>23</v>
      </c>
      <c r="BM115" s="69" t="s">
        <v>111</v>
      </c>
      <c r="BN115" s="36" cm="1">
        <f t="array" aca="1" ref="BN115" ca="1">_FV(EC115,"Média de volume",TRUE)</f>
        <v>6466090</v>
      </c>
      <c r="BO115" s="36">
        <v>11241600</v>
      </c>
      <c r="BP115" s="36" cm="1">
        <f t="array" aca="1" ref="BP115" ca="1">_FV(EC115,"Volume")</f>
        <v>11241600</v>
      </c>
      <c r="BQ115" s="24" cm="1">
        <f t="array" aca="1" ref="BQ115" ca="1">_FV(EC115,"Beta")</f>
        <v>0.9133</v>
      </c>
      <c r="BR115" s="71" cm="1">
        <f t="array" aca="1" ref="BR115" ca="1">_FV(EC115,"Variação (%)",TRUE)</f>
        <v>-4.1666999999999996E-2</v>
      </c>
      <c r="BT115" s="17" cm="1">
        <f t="array" aca="1" ref="BT115" ca="1">_FV(EC115,"Baixo")</f>
        <v>22.52</v>
      </c>
      <c r="BU115" s="17" cm="1">
        <f t="array" aca="1" ref="BU115" ca="1">_FV(EC115,"Alto")</f>
        <v>23.57</v>
      </c>
      <c r="BV115" s="24"/>
      <c r="BW115" s="63">
        <f ca="1">SQRT(22.5*(BL115/VLOOKUP(BM115,Fundamentus!A:U,3,FALSE))*(BL115/VLOOKUP(BM115,Fundamentus!A:U,4,FALSE)))</f>
        <v>14.233346704161917</v>
      </c>
      <c r="BY115" s="62">
        <f t="shared" ca="1" si="112"/>
        <v>0</v>
      </c>
      <c r="BZ115" s="8"/>
      <c r="CA115" s="61">
        <f t="shared" si="113"/>
        <v>9.56</v>
      </c>
      <c r="CB115" s="61">
        <f t="shared" si="114"/>
        <v>25.41</v>
      </c>
      <c r="CC115" s="61">
        <f t="shared" si="115"/>
        <v>16.144365079365077</v>
      </c>
      <c r="CD115" s="14"/>
      <c r="CE115" s="35">
        <f t="shared" si="98"/>
        <v>20.576696192474678</v>
      </c>
      <c r="CF115" s="15">
        <f t="shared" si="116"/>
        <v>22.701000000000022</v>
      </c>
      <c r="CG115" s="35">
        <f t="shared" si="99"/>
        <v>24.825303807525366</v>
      </c>
      <c r="CI115" s="14"/>
      <c r="CJ115" s="17">
        <f t="shared" si="100"/>
        <v>-3.1266666666666669</v>
      </c>
      <c r="CK115" s="17">
        <f t="shared" si="101"/>
        <v>3.2166666666666668</v>
      </c>
      <c r="CL115" s="17">
        <f t="shared" si="102"/>
        <v>12.723333333333333</v>
      </c>
      <c r="CM115" s="38">
        <f t="shared" si="117"/>
        <v>19.066666666666666</v>
      </c>
      <c r="CN115" s="17">
        <f t="shared" si="103"/>
        <v>28.573333333333331</v>
      </c>
      <c r="CO115" s="17">
        <f t="shared" si="104"/>
        <v>34.916666666666664</v>
      </c>
      <c r="CP115" s="17">
        <f t="shared" si="105"/>
        <v>44.423333333333332</v>
      </c>
      <c r="CQ115" s="2" cm="1">
        <f t="array" aca="1" ref="CQ115" ca="1">MAX(_xlfn._xlws.FILTER(CJ115:CP115,CJ115:CP115&lt;BL115))</f>
        <v>19.066666666666666</v>
      </c>
      <c r="CR115" s="2" cm="1">
        <f t="array" aca="1" ref="CR115" ca="1">MIN(_xlfn._xlws.FILTER($CJ115:$CP115,$CJ115:$CP115&gt;BL115))</f>
        <v>28.573333333333331</v>
      </c>
      <c r="CS115" s="16">
        <f t="shared" ref="CS115:CS146" ca="1" si="136">(CR115/CQ115)-1</f>
        <v>0.4986013986013984</v>
      </c>
      <c r="CT115" s="20">
        <f t="shared" ref="CT115:CT146" ca="1" si="137">-$CS115/2</f>
        <v>-0.2493006993006992</v>
      </c>
      <c r="CU115" s="20">
        <f t="shared" ref="CU115:CU146" ca="1" si="138">-$CS115/3</f>
        <v>-0.16620046620046613</v>
      </c>
      <c r="CV115" s="20">
        <f t="shared" ref="CV115:CV146" ca="1" si="139">-$CS115/5</f>
        <v>-9.9720279720279678E-2</v>
      </c>
      <c r="CW115" s="20">
        <f t="shared" ref="CW115:CW146" ca="1" si="140">-$CS115/9</f>
        <v>-5.5400155400155381E-2</v>
      </c>
      <c r="CX115" s="20">
        <f t="shared" ref="CX115:CX146" ca="1" si="141">-$CS115/17</f>
        <v>-2.9329494035376377E-2</v>
      </c>
      <c r="CY115" s="20">
        <f t="shared" ref="CY115:CY146" ca="1" si="142">-$CS115/33</f>
        <v>-1.5109133290951466E-2</v>
      </c>
      <c r="CZ115" s="20">
        <f t="shared" ref="CZ115:CZ146" ca="1" si="143">-$CS115/65</f>
        <v>-7.6707907477138217E-3</v>
      </c>
      <c r="DA115" s="21">
        <f t="shared" ref="DA115:DA146" ca="1" si="144">-$CS115/65*-1</f>
        <v>7.6707907477138217E-3</v>
      </c>
      <c r="DB115" s="21">
        <f t="shared" ref="DB115:DB146" ca="1" si="145">-$CS115/33*-1</f>
        <v>1.5109133290951466E-2</v>
      </c>
      <c r="DC115" s="21">
        <f t="shared" ref="DC115:DC146" ca="1" si="146">-$CS115/17*-1</f>
        <v>2.9329494035376377E-2</v>
      </c>
      <c r="DD115" s="21">
        <f t="shared" ref="DD115:DD146" ca="1" si="147">-$CS115/9*-1</f>
        <v>5.5400155400155381E-2</v>
      </c>
      <c r="DE115" s="21">
        <f t="shared" ref="DE115:DE146" ca="1" si="148">-$CS115/5*-1</f>
        <v>9.9720279720279678E-2</v>
      </c>
      <c r="DF115" s="21">
        <f t="shared" ref="DF115:DF146" ca="1" si="149">-$CS115/3*-1</f>
        <v>0.16620046620046613</v>
      </c>
      <c r="DG115" s="21">
        <f t="shared" ref="DG115:DG146" ca="1" si="150">-$CS115/2*-1</f>
        <v>0.2493006993006992</v>
      </c>
      <c r="DI115" s="16" cm="1">
        <f t="array" aca="1" ref="DI115" ca="1">MAX(_xlfn._xlws.FILTER(CT115:DG115,CT115:DG115&lt;BR115))</f>
        <v>-5.5400155400155381E-2</v>
      </c>
      <c r="DJ115" s="16" cm="1">
        <f t="array" aca="1" ref="DJ115" ca="1">MIN(_xlfn._xlws.FILTER(CT115:DG115,CT115:DG115&gt;BR115))</f>
        <v>-2.9329494035376377E-2</v>
      </c>
      <c r="DK115" s="2" cm="1">
        <f t="array" aca="1" ref="DK115" ca="1">_FV(EC115,"Fechamento anterior",TRUE)</f>
        <v>24</v>
      </c>
      <c r="DL115" s="28">
        <f t="shared" ca="1" si="106"/>
        <v>0.52677945301542606</v>
      </c>
      <c r="DM115" s="15">
        <f t="shared" ref="DM115:DM146" ca="1" si="151">DK115+(DK115*DI115)</f>
        <v>22.670396270396271</v>
      </c>
      <c r="DN115" s="15">
        <f t="shared" ref="DN115:DN146" ca="1" si="152">DK115+(DK115*DJ115)</f>
        <v>23.296092143150968</v>
      </c>
      <c r="DO115" s="9"/>
      <c r="DP115" s="9"/>
      <c r="DQ115" s="9"/>
      <c r="DR115" s="89">
        <v>7.8322913698866039E-3</v>
      </c>
      <c r="DS115" s="89">
        <v>1.6098215998465372E-2</v>
      </c>
      <c r="DT115" s="89">
        <v>7.4383425432376447E-3</v>
      </c>
      <c r="DU115" s="89">
        <v>2.6070661364779004E-2</v>
      </c>
      <c r="DV115" s="89">
        <f t="shared" ca="1" si="107"/>
        <v>2.6070661364779004E-2</v>
      </c>
      <c r="DW115" s="72">
        <f t="shared" ca="1" si="108"/>
        <v>0.14075199552002449</v>
      </c>
      <c r="DX115" s="37"/>
      <c r="DY115" s="35">
        <f t="shared" si="118"/>
        <v>1.0621519037626712</v>
      </c>
      <c r="DZ115" s="56"/>
      <c r="EA115" s="56"/>
      <c r="EC115" s="2" t="e" vm="114">
        <v>#VALUE!</v>
      </c>
      <c r="EE115" s="10" cm="1">
        <f t="array" aca="1" ref="EE115" ca="1">_FV(EC115,"Ações em circulação",TRUE)</f>
        <v>857928100</v>
      </c>
      <c r="EF115" s="18">
        <f>VLOOKUP(BM115,Fundamentus!A:U,5,FALSE)</f>
        <v>0.13800000000000001</v>
      </c>
      <c r="EG115" s="2">
        <f t="shared" ca="1" si="109"/>
        <v>142988016666.66666</v>
      </c>
      <c r="EH115" s="17">
        <v>3774883639.9999995</v>
      </c>
      <c r="EI115" s="17">
        <f t="shared" ca="1" si="110"/>
        <v>3774883639.9999995</v>
      </c>
      <c r="EK115" s="16">
        <f t="shared" ca="1" si="97"/>
        <v>0</v>
      </c>
      <c r="EL115" s="32" t="str">
        <f>IF(VLOOKUP(BM115,Fundamentus!A:U,3,FALSE)&lt;15,"Bom",IF(VLOOKUP(BM115,Fundamentus!A:U,3,FALSE)&gt;15,"Ruim","n/a"))</f>
        <v>Bom</v>
      </c>
      <c r="EM115" s="28" t="str">
        <f>IF(VLOOKUP(BM115,Fundamentus!A:U,4,FALSE)&lt;1,"Baixo",IF(VLOOKUP(BM115,Fundamentus!A:U,4,FALSE)&lt;1.5,"Moderado",IF(VLOOKUP(BM115,Fundamentus!A:U,4,FALSE)&gt;1.5,"Alto","n/a")))</f>
        <v>Alto</v>
      </c>
      <c r="EN115" s="17" t="str">
        <f>IF(VLOOKUP(BM115,Fundamentus!A:U,8,FALSE)&lt;0,"Risco elevado",IF(VLOOKUP(BM115,Fundamentus!A:U,8,FALSE)&lt;1,"Saudável",IF(VLOOKUP(BM115,Fundamentus!A:U,8,FALSE)&lt;3,"Estável",IF(VLOOKUP(BM115,Fundamentus!A:U,8,FALSE)&gt;3,"Alerta","n/a"))))</f>
        <v>Estável</v>
      </c>
      <c r="EO115" s="28" t="str">
        <f t="shared" si="111"/>
        <v>Ruim</v>
      </c>
      <c r="EP115" s="17" t="str">
        <f>IF(VLOOKUP(BM115,Fundamentus!A:U,12,FALSE)&lt;2,"Subvalorizada",IF(VLOOKUP(BM115,Fundamentus!A:U,12,FALSE)&lt;6,"Muita barata",IF(VLOOKUP(BM115,Fundamentus!A:U,12,FALSE)&lt;6,"Barata",IF(VLOOKUP(BM115,Fundamentus!A:U,12,FALSE)&lt;8,"Atrativa",IF(VLOOKUP(BM115,Fundamentus!A:U,12,FALSE)&gt;8,"Supervalorizada","n/a")))))</f>
        <v>Muita barata</v>
      </c>
      <c r="ER115" s="17" t="str">
        <f>IF(VLOOKUP(BM115,Fundamentus!A:U,17,FALSE)&lt;0.1,"Fraco retorno",IF(VLOOKUP(BM115,Fundamentus!A:U,17,FALSE)&gt;0.1,"Bom retorno","n/a"))</f>
        <v>Bom retorno</v>
      </c>
      <c r="ES115" s="17" t="str">
        <f>IF(VLOOKUP(BM115,Fundamentus!A:U,16,FALSE)&lt;0.1,"Ineficiente",IF(VLOOKUP(BM115,Fundamentus!A:U,16,FALSE)&gt;0.1,"Eficiente","n/a"))</f>
        <v>Ineficiente</v>
      </c>
      <c r="ET115" s="33" t="str">
        <f>IF(VLOOKUP(BM115,Fundamentus!A:U,16,FALSE)&lt;0.1,"Oper. Ineficiente",IF(VLOOKUP(BM115,Fundamentus!A:U,16,FALSE)&gt;0.1,"Oper.Eficiente","n/a"))</f>
        <v>Oper. Ineficiente</v>
      </c>
      <c r="EU115" s="34">
        <f>VLOOKUP(BM115,Fundamentus!A:U,14,FALSE)</f>
        <v>2.64E-2</v>
      </c>
      <c r="EV115" s="17" t="str">
        <f>IF(VLOOKUP(BM115,Fundamentus!A:U,21,FALSE)&lt;0,"Negativo",IF(VLOOKUP(BM115,Fundamentus!A:U,21,FALSE)&lt;0.05,"Fraco",IF(VLOOKUP(BM115,Fundamentus!A:U,21,FALSE)&lt;0.1,"Bom",IF(VLOOKUP(BM115,Fundamentus!A:U,21,FALSE)&gt;0.1,"Muito bom","n/a"))))</f>
        <v>Muito bom</v>
      </c>
      <c r="EX115" s="29" t="str">
        <f>IF(VLOOKUP(BM115,Fundamentus!A:U,15,FALSE)&gt;1,"Bom",IF(VLOOKUP(BM115,Fundamentus!A:U,15,FALSE)&lt;1,"Ruim","n/a"))</f>
        <v>Bom</v>
      </c>
      <c r="EY115" s="17" t="str">
        <f>IF(VLOOKUP(BM115,Fundamentus!A:U,20,FALSE)&lt;0.5,"Baixa",IF(VLOOKUP(BM115,Fundamentus!A:U,20,FALSE)&lt;1,"Moderada",IF(VLOOKUP(BM115,Fundamentus!A:U,20,FALSE)&lt;2,"Alerta",IF(VLOOKUP(BM115,Fundamentus!A:U,20,FALSE)&gt;2,"Alta","n/a"))))</f>
        <v>Alta</v>
      </c>
      <c r="EZ115" s="10"/>
    </row>
    <row r="116" spans="1:156" s="2" customFormat="1" ht="11.25" x14ac:dyDescent="0.2">
      <c r="A116" s="4">
        <v>1.53</v>
      </c>
      <c r="B116" s="4">
        <v>1.51</v>
      </c>
      <c r="C116" s="4">
        <v>1.34</v>
      </c>
      <c r="D116" s="4">
        <v>1.43</v>
      </c>
      <c r="E116" s="4">
        <v>1.33</v>
      </c>
      <c r="F116" s="4">
        <v>1.31</v>
      </c>
      <c r="G116" s="4">
        <v>1.1000000000000001</v>
      </c>
      <c r="H116" s="4">
        <v>0.9</v>
      </c>
      <c r="I116" s="4">
        <v>0.51</v>
      </c>
      <c r="J116" s="4">
        <v>0.36</v>
      </c>
      <c r="K116" s="4">
        <v>0.32</v>
      </c>
      <c r="L116" s="4">
        <v>0.18</v>
      </c>
      <c r="M116" s="4">
        <v>0.37</v>
      </c>
      <c r="N116" s="4">
        <v>0.34</v>
      </c>
      <c r="O116" s="4">
        <v>0.31</v>
      </c>
      <c r="P116" s="4">
        <v>0.23</v>
      </c>
      <c r="Q116" s="4">
        <v>0.24</v>
      </c>
      <c r="R116" s="4">
        <v>0.21</v>
      </c>
      <c r="S116" s="4">
        <v>0.2</v>
      </c>
      <c r="T116" s="4">
        <v>0.28000000000000003</v>
      </c>
      <c r="U116" s="4">
        <v>0.3</v>
      </c>
      <c r="V116" s="4">
        <v>0.28999999999999998</v>
      </c>
      <c r="W116" s="4">
        <v>0.27</v>
      </c>
      <c r="X116" s="4">
        <v>0.26</v>
      </c>
      <c r="Y116" s="4">
        <v>0.28000000000000003</v>
      </c>
      <c r="Z116" s="4">
        <v>0.27</v>
      </c>
      <c r="AA116" s="4">
        <v>0.25</v>
      </c>
      <c r="AB116" s="4">
        <v>0.22</v>
      </c>
      <c r="AC116" s="4">
        <v>0.21</v>
      </c>
      <c r="AD116" s="4">
        <v>4</v>
      </c>
      <c r="AE116" s="4">
        <v>3.18</v>
      </c>
      <c r="AF116" s="4">
        <v>3.16</v>
      </c>
      <c r="AG116" s="4">
        <v>3.06</v>
      </c>
      <c r="AH116" s="4">
        <v>2.38</v>
      </c>
      <c r="AI116" s="4">
        <v>2.36</v>
      </c>
      <c r="AJ116" s="4">
        <v>2.71</v>
      </c>
      <c r="AK116" s="4">
        <v>2.59</v>
      </c>
      <c r="AL116" s="4">
        <v>2.48</v>
      </c>
      <c r="AM116" s="4">
        <v>2.4500000000000002</v>
      </c>
      <c r="AN116" s="4">
        <v>2.41</v>
      </c>
      <c r="AO116" s="4">
        <v>2.2999999999999998</v>
      </c>
      <c r="AP116" s="4">
        <v>2.27</v>
      </c>
      <c r="AQ116" s="4">
        <v>2.4</v>
      </c>
      <c r="AR116" s="4">
        <v>2.4</v>
      </c>
      <c r="AS116" s="4">
        <v>3.09</v>
      </c>
      <c r="AT116" s="4">
        <v>2.65</v>
      </c>
      <c r="AU116" s="4">
        <v>2.44</v>
      </c>
      <c r="AV116" s="4">
        <v>2.36</v>
      </c>
      <c r="AW116" s="4">
        <v>2.3199999999999998</v>
      </c>
      <c r="AX116" s="4">
        <v>2.37</v>
      </c>
      <c r="AY116" s="12">
        <v>2.25</v>
      </c>
      <c r="AZ116" s="12">
        <v>2.2400000000000002</v>
      </c>
      <c r="BA116" s="12">
        <v>2.16</v>
      </c>
      <c r="BB116" s="15">
        <v>2.16</v>
      </c>
      <c r="BC116" s="52">
        <v>2.0499999999999998</v>
      </c>
      <c r="BD116" s="52">
        <v>2</v>
      </c>
      <c r="BE116" s="52">
        <v>1.94</v>
      </c>
      <c r="BF116" s="52">
        <v>1.93</v>
      </c>
      <c r="BG116" s="67">
        <v>1.94</v>
      </c>
      <c r="BH116" s="52">
        <v>1.91</v>
      </c>
      <c r="BI116" s="52">
        <v>1.85</v>
      </c>
      <c r="BJ116" s="52">
        <v>1.83</v>
      </c>
      <c r="BK116" s="52">
        <v>1.74</v>
      </c>
      <c r="BL116" s="52" cm="1">
        <f t="array" aca="1" ref="BL116" ca="1">_FV(EC116,"Preço")</f>
        <v>1.74</v>
      </c>
      <c r="BM116" s="69" t="s">
        <v>112</v>
      </c>
      <c r="BN116" s="36" cm="1">
        <f t="array" aca="1" ref="BN116" ca="1">_FV(EC116,"Média de volume",TRUE)</f>
        <v>6540</v>
      </c>
      <c r="BO116" s="36">
        <v>4200</v>
      </c>
      <c r="BP116" s="36" cm="1">
        <f t="array" aca="1" ref="BP116" ca="1">_FV(EC116,"Volume")</f>
        <v>4200</v>
      </c>
      <c r="BQ116" s="24" cm="1">
        <f t="array" aca="1" ref="BQ116" ca="1">_FV(EC116,"Beta")</f>
        <v>1.4189000000000001</v>
      </c>
      <c r="BR116" s="71" cm="1">
        <f t="array" aca="1" ref="BR116" ca="1">_FV(EC116,"Variação (%)",TRUE)</f>
        <v>-3.8674E-2</v>
      </c>
      <c r="BT116" s="17" cm="1">
        <f t="array" aca="1" ref="BT116" ca="1">_FV(EC116,"Baixo")</f>
        <v>1.71</v>
      </c>
      <c r="BU116" s="17" cm="1">
        <f t="array" aca="1" ref="BU116" ca="1">_FV(EC116,"Alto")</f>
        <v>1.8</v>
      </c>
      <c r="BV116" s="24"/>
      <c r="BW116" s="63">
        <f ca="1">SQRT(22.5*(BL116/VLOOKUP(BM116,Fundamentus!A:U,3,FALSE))*(BL116/VLOOKUP(BM116,Fundamentus!A:U,4,FALSE)))</f>
        <v>33.417625662485847</v>
      </c>
      <c r="BY116" s="62">
        <f t="shared" ca="1" si="112"/>
        <v>0</v>
      </c>
      <c r="BZ116" s="8"/>
      <c r="CA116" s="61">
        <f t="shared" si="113"/>
        <v>0.18</v>
      </c>
      <c r="CB116" s="61">
        <f t="shared" si="114"/>
        <v>4</v>
      </c>
      <c r="CC116" s="61">
        <f t="shared" si="115"/>
        <v>1.5512698412698407</v>
      </c>
      <c r="CD116" s="14"/>
      <c r="CE116" s="35">
        <f t="shared" si="98"/>
        <v>1.6671155556266521</v>
      </c>
      <c r="CF116" s="15">
        <f t="shared" si="116"/>
        <v>1.8059999999999832</v>
      </c>
      <c r="CG116" s="35">
        <f t="shared" si="99"/>
        <v>1.9448844443733142</v>
      </c>
      <c r="CI116" s="14"/>
      <c r="CJ116" s="17">
        <f t="shared" si="100"/>
        <v>-3.813333333333333</v>
      </c>
      <c r="CK116" s="17">
        <f t="shared" si="101"/>
        <v>-1.8166666666666664</v>
      </c>
      <c r="CL116" s="17">
        <f t="shared" si="102"/>
        <v>6.6666666666668206E-3</v>
      </c>
      <c r="CM116" s="38">
        <f t="shared" si="117"/>
        <v>2.0033333333333334</v>
      </c>
      <c r="CN116" s="17">
        <f t="shared" si="103"/>
        <v>3.8266666666666667</v>
      </c>
      <c r="CO116" s="17">
        <f t="shared" si="104"/>
        <v>5.8233333333333333</v>
      </c>
      <c r="CP116" s="17">
        <f t="shared" si="105"/>
        <v>7.6466666666666665</v>
      </c>
      <c r="CQ116" s="2" cm="1">
        <f t="array" aca="1" ref="CQ116" ca="1">MAX(_xlfn._xlws.FILTER(CJ116:CP116,CJ116:CP116&lt;BL116))</f>
        <v>6.6666666666668206E-3</v>
      </c>
      <c r="CR116" s="2" cm="1">
        <f t="array" aca="1" ref="CR116" ca="1">MIN(_xlfn._xlws.FILTER($CJ116:$CP116,$CJ116:$CP116&gt;BL116))</f>
        <v>2.0033333333333334</v>
      </c>
      <c r="CS116" s="16">
        <f t="shared" ca="1" si="136"/>
        <v>299.49999999999307</v>
      </c>
      <c r="CT116" s="20">
        <f t="shared" ca="1" si="137"/>
        <v>-149.74999999999653</v>
      </c>
      <c r="CU116" s="20">
        <f t="shared" ca="1" si="138"/>
        <v>-99.833333333331026</v>
      </c>
      <c r="CV116" s="20">
        <f t="shared" ca="1" si="139"/>
        <v>-59.899999999998613</v>
      </c>
      <c r="CW116" s="20">
        <f t="shared" ca="1" si="140"/>
        <v>-33.277777777777004</v>
      </c>
      <c r="CX116" s="20">
        <f t="shared" ca="1" si="141"/>
        <v>-17.61764705882312</v>
      </c>
      <c r="CY116" s="20">
        <f t="shared" ca="1" si="142"/>
        <v>-9.0757575757573647</v>
      </c>
      <c r="CZ116" s="20">
        <f t="shared" ca="1" si="143"/>
        <v>-4.6076923076922007</v>
      </c>
      <c r="DA116" s="21">
        <f t="shared" ca="1" si="144"/>
        <v>4.6076923076922007</v>
      </c>
      <c r="DB116" s="21">
        <f t="shared" ca="1" si="145"/>
        <v>9.0757575757573647</v>
      </c>
      <c r="DC116" s="21">
        <f t="shared" ca="1" si="146"/>
        <v>17.61764705882312</v>
      </c>
      <c r="DD116" s="21">
        <f t="shared" ca="1" si="147"/>
        <v>33.277777777777004</v>
      </c>
      <c r="DE116" s="21">
        <f t="shared" ca="1" si="148"/>
        <v>59.899999999998613</v>
      </c>
      <c r="DF116" s="21">
        <f t="shared" ca="1" si="149"/>
        <v>99.833333333331026</v>
      </c>
      <c r="DG116" s="21">
        <f t="shared" ca="1" si="150"/>
        <v>149.74999999999653</v>
      </c>
      <c r="DI116" s="16" cm="1">
        <f t="array" aca="1" ref="DI116" ca="1">MAX(_xlfn._xlws.FILTER(CT116:DG116,CT116:DG116&lt;BR116))</f>
        <v>-4.6076923076922007</v>
      </c>
      <c r="DJ116" s="16" cm="1">
        <f t="array" aca="1" ref="DJ116" ca="1">MIN(_xlfn._xlws.FILTER(CT116:DG116,CT116:DG116&gt;BR116))</f>
        <v>4.6076923076922007</v>
      </c>
      <c r="DK116" s="2" cm="1">
        <f t="array" aca="1" ref="DK116" ca="1">_FV(EC116,"Fechamento anterior",TRUE)</f>
        <v>1.81</v>
      </c>
      <c r="DL116" s="28">
        <f t="shared" ca="1" si="106"/>
        <v>0.49580331860651722</v>
      </c>
      <c r="DM116" s="15">
        <f t="shared" ca="1" si="151"/>
        <v>-6.5299230769228824</v>
      </c>
      <c r="DN116" s="15">
        <f t="shared" ca="1" si="152"/>
        <v>10.149923076922883</v>
      </c>
      <c r="DO116" s="9"/>
      <c r="DP116" s="9"/>
      <c r="DQ116" s="9"/>
      <c r="DR116" s="89">
        <v>2.7859356055503166E-2</v>
      </c>
      <c r="DS116" s="89">
        <v>0.75384615384616172</v>
      </c>
      <c r="DT116" s="89">
        <v>9.2153846153844015</v>
      </c>
      <c r="DU116" s="89">
        <v>9.2153846153844015</v>
      </c>
      <c r="DV116" s="89">
        <f t="shared" ca="1" si="107"/>
        <v>9.2153846153844015</v>
      </c>
      <c r="DW116" s="72">
        <f t="shared" ca="1" si="108"/>
        <v>-0.47521520712982512</v>
      </c>
      <c r="DX116" s="37"/>
      <c r="DY116" s="35">
        <f t="shared" si="118"/>
        <v>6.94422221866655E-2</v>
      </c>
      <c r="DZ116" s="56"/>
      <c r="EA116" s="56"/>
      <c r="EC116" s="2" t="e" vm="115">
        <v>#VALUE!</v>
      </c>
      <c r="EE116" s="10" cm="1">
        <f t="array" aca="1" ref="EE116" ca="1">_FV(EC116,"Ações em circulação",TRUE)</f>
        <v>12802740</v>
      </c>
      <c r="EF116" s="18">
        <f>VLOOKUP(BM116,Fundamentus!A:U,5,FALSE)</f>
        <v>0.105</v>
      </c>
      <c r="EG116" s="2">
        <f t="shared" ca="1" si="109"/>
        <v>212159691.42857146</v>
      </c>
      <c r="EH116" s="17">
        <v>-226438038.66171432</v>
      </c>
      <c r="EI116" s="17">
        <f t="shared" ca="1" si="110"/>
        <v>-226438038.66171432</v>
      </c>
      <c r="EK116" s="16">
        <f t="shared" ca="1" si="97"/>
        <v>0</v>
      </c>
      <c r="EL116" s="32" t="str">
        <f>IF(VLOOKUP(BM116,Fundamentus!A:U,3,FALSE)&lt;15,"Bom",IF(VLOOKUP(BM116,Fundamentus!A:U,3,FALSE)&gt;15,"Ruim","n/a"))</f>
        <v>Bom</v>
      </c>
      <c r="EM116" s="28" t="str">
        <f>IF(VLOOKUP(BM116,Fundamentus!A:U,4,FALSE)&lt;1,"Baixo",IF(VLOOKUP(BM116,Fundamentus!A:U,4,FALSE)&lt;1.5,"Moderado",IF(VLOOKUP(BM116,Fundamentus!A:U,4,FALSE)&gt;1.5,"Alto","n/a")))</f>
        <v>Baixo</v>
      </c>
      <c r="EN116" s="17" t="str">
        <f>IF(VLOOKUP(BM116,Fundamentus!A:U,8,FALSE)&lt;0,"Risco elevado",IF(VLOOKUP(BM116,Fundamentus!A:U,8,FALSE)&lt;1,"Saudável",IF(VLOOKUP(BM116,Fundamentus!A:U,8,FALSE)&lt;3,"Estável",IF(VLOOKUP(BM116,Fundamentus!A:U,8,FALSE)&gt;3,"Alerta","n/a"))))</f>
        <v>Saudável</v>
      </c>
      <c r="EO116" s="28" t="str">
        <f t="shared" si="111"/>
        <v>Ruim</v>
      </c>
      <c r="EP116" s="17" t="str">
        <f>IF(VLOOKUP(BM116,Fundamentus!A:U,12,FALSE)&lt;2,"Subvalorizada",IF(VLOOKUP(BM116,Fundamentus!A:U,12,FALSE)&lt;6,"Muita barata",IF(VLOOKUP(BM116,Fundamentus!A:U,12,FALSE)&lt;6,"Barata",IF(VLOOKUP(BM116,Fundamentus!A:U,12,FALSE)&lt;8,"Atrativa",IF(VLOOKUP(BM116,Fundamentus!A:U,12,FALSE)&gt;8,"Supervalorizada","n/a")))))</f>
        <v>Subvalorizada</v>
      </c>
      <c r="ER116" s="17" t="str">
        <f>IF(VLOOKUP(BM116,Fundamentus!A:U,17,FALSE)&lt;0.1,"Fraco retorno",IF(VLOOKUP(BM116,Fundamentus!A:U,17,FALSE)&gt;0.1,"Bom retorno","n/a"))</f>
        <v>Bom retorno</v>
      </c>
      <c r="ES116" s="17" t="str">
        <f>IF(VLOOKUP(BM116,Fundamentus!A:U,16,FALSE)&lt;0.1,"Ineficiente",IF(VLOOKUP(BM116,Fundamentus!A:U,16,FALSE)&gt;0.1,"Eficiente","n/a"))</f>
        <v>Ineficiente</v>
      </c>
      <c r="ET116" s="33" t="str">
        <f>IF(VLOOKUP(BM116,Fundamentus!A:U,16,FALSE)&lt;0.1,"Oper. Ineficiente",IF(VLOOKUP(BM116,Fundamentus!A:U,16,FALSE)&gt;0.1,"Oper.Eficiente","n/a"))</f>
        <v>Oper. Ineficiente</v>
      </c>
      <c r="EU116" s="34">
        <f>VLOOKUP(BM116,Fundamentus!A:U,14,FALSE)</f>
        <v>-1.0672999999999999</v>
      </c>
      <c r="EV116" s="17" t="str">
        <f>IF(VLOOKUP(BM116,Fundamentus!A:U,21,FALSE)&lt;0,"Negativo",IF(VLOOKUP(BM116,Fundamentus!A:U,21,FALSE)&lt;0.05,"Fraco",IF(VLOOKUP(BM116,Fundamentus!A:U,21,FALSE)&lt;0.1,"Bom",IF(VLOOKUP(BM116,Fundamentus!A:U,21,FALSE)&gt;0.1,"Muito bom","n/a"))))</f>
        <v>Muito bom</v>
      </c>
      <c r="EX116" s="29" t="str">
        <f>IF(VLOOKUP(BM116,Fundamentus!A:U,15,FALSE)&gt;1,"Bom",IF(VLOOKUP(BM116,Fundamentus!A:U,15,FALSE)&lt;1,"Ruim","n/a"))</f>
        <v>Bom</v>
      </c>
      <c r="EY116" s="17" t="str">
        <f>IF(VLOOKUP(BM116,Fundamentus!A:U,20,FALSE)&lt;0.5,"Baixa",IF(VLOOKUP(BM116,Fundamentus!A:U,20,FALSE)&lt;1,"Moderada",IF(VLOOKUP(BM116,Fundamentus!A:U,20,FALSE)&lt;2,"Alerta",IF(VLOOKUP(BM116,Fundamentus!A:U,20,FALSE)&gt;2,"Alta","n/a"))))</f>
        <v>Baixa</v>
      </c>
      <c r="EZ116" s="10"/>
    </row>
    <row r="117" spans="1:156" s="2" customFormat="1" ht="11.25" x14ac:dyDescent="0.2">
      <c r="A117" s="4">
        <v>7.66</v>
      </c>
      <c r="B117" s="4">
        <v>7.5</v>
      </c>
      <c r="C117" s="4">
        <v>7.35</v>
      </c>
      <c r="D117" s="4">
        <v>7.29</v>
      </c>
      <c r="E117" s="4">
        <v>7</v>
      </c>
      <c r="F117" s="4">
        <v>6.63</v>
      </c>
      <c r="G117" s="4">
        <v>6.71</v>
      </c>
      <c r="H117" s="4">
        <v>7.17</v>
      </c>
      <c r="I117" s="4">
        <v>7.6</v>
      </c>
      <c r="J117" s="4">
        <v>7.71</v>
      </c>
      <c r="K117" s="4">
        <v>7.64</v>
      </c>
      <c r="L117" s="4">
        <v>7.96</v>
      </c>
      <c r="M117" s="4">
        <v>6.05</v>
      </c>
      <c r="N117" s="4">
        <v>5.88</v>
      </c>
      <c r="O117" s="4">
        <v>5.85</v>
      </c>
      <c r="P117" s="4">
        <v>6.02</v>
      </c>
      <c r="Q117" s="4">
        <v>6.41</v>
      </c>
      <c r="R117" s="4">
        <v>6.09</v>
      </c>
      <c r="S117" s="4">
        <v>5.87</v>
      </c>
      <c r="T117" s="4">
        <v>6.06</v>
      </c>
      <c r="U117" s="4">
        <v>5.75</v>
      </c>
      <c r="V117" s="4">
        <v>6.01</v>
      </c>
      <c r="W117" s="4">
        <v>6.09</v>
      </c>
      <c r="X117" s="4">
        <v>6.08</v>
      </c>
      <c r="Y117" s="4">
        <v>5.99</v>
      </c>
      <c r="Z117" s="4">
        <v>6.46</v>
      </c>
      <c r="AA117" s="4">
        <v>6.08</v>
      </c>
      <c r="AB117" s="4">
        <v>6.16</v>
      </c>
      <c r="AC117" s="4">
        <v>5.95</v>
      </c>
      <c r="AD117" s="4">
        <v>6.14</v>
      </c>
      <c r="AE117" s="4">
        <v>6.1</v>
      </c>
      <c r="AF117" s="4">
        <v>5.9</v>
      </c>
      <c r="AG117" s="4">
        <v>5.85</v>
      </c>
      <c r="AH117" s="4">
        <v>5.3</v>
      </c>
      <c r="AI117" s="4">
        <v>5.25</v>
      </c>
      <c r="AJ117" s="4">
        <v>4.9800000000000004</v>
      </c>
      <c r="AK117" s="4">
        <v>4.8099999999999996</v>
      </c>
      <c r="AL117" s="4">
        <v>5.0999999999999996</v>
      </c>
      <c r="AM117" s="4">
        <v>5.31</v>
      </c>
      <c r="AN117" s="4">
        <v>5.44</v>
      </c>
      <c r="AO117" s="4">
        <v>5.5</v>
      </c>
      <c r="AP117" s="4">
        <v>5.9</v>
      </c>
      <c r="AQ117" s="4">
        <v>5.9</v>
      </c>
      <c r="AR117" s="4">
        <v>5.66</v>
      </c>
      <c r="AS117" s="4">
        <v>5.92</v>
      </c>
      <c r="AT117" s="4">
        <v>5.85</v>
      </c>
      <c r="AU117" s="4">
        <v>5.83</v>
      </c>
      <c r="AV117" s="4">
        <v>5.7</v>
      </c>
      <c r="AW117" s="4">
        <v>5.31</v>
      </c>
      <c r="AX117" s="4">
        <v>5.36</v>
      </c>
      <c r="AY117" s="12">
        <v>5.65</v>
      </c>
      <c r="AZ117" s="12">
        <v>5.74</v>
      </c>
      <c r="BA117" s="12">
        <v>5.51</v>
      </c>
      <c r="BB117" s="15">
        <v>5.51</v>
      </c>
      <c r="BC117" s="52">
        <v>5.53</v>
      </c>
      <c r="BD117" s="52">
        <v>5.25</v>
      </c>
      <c r="BE117" s="52">
        <v>5.0999999999999996</v>
      </c>
      <c r="BF117" s="52">
        <v>5.13</v>
      </c>
      <c r="BG117" s="67">
        <v>4.76</v>
      </c>
      <c r="BH117" s="52">
        <v>4.4400000000000004</v>
      </c>
      <c r="BI117" s="52">
        <v>4.2</v>
      </c>
      <c r="BJ117" s="52">
        <v>4.45</v>
      </c>
      <c r="BK117" s="52">
        <v>4.37</v>
      </c>
      <c r="BL117" s="52" cm="1">
        <f t="array" aca="1" ref="BL117" ca="1">_FV(EC117,"Preço")</f>
        <v>4.37</v>
      </c>
      <c r="BM117" s="69" t="s">
        <v>113</v>
      </c>
      <c r="BN117" s="36" cm="1">
        <f t="array" aca="1" ref="BN117" ca="1">_FV(EC117,"Média de volume",TRUE)</f>
        <v>12469280</v>
      </c>
      <c r="BO117" s="36">
        <v>165500</v>
      </c>
      <c r="BP117" s="36" cm="1">
        <f t="array" aca="1" ref="BP117" ca="1">_FV(EC117,"Volume")</f>
        <v>165500</v>
      </c>
      <c r="BQ117" s="24" cm="1">
        <f t="array" aca="1" ref="BQ117" ca="1">_FV(EC117,"Beta")</f>
        <v>0.87809999999999999</v>
      </c>
      <c r="BR117" s="71" cm="1">
        <f t="array" aca="1" ref="BR117" ca="1">_FV(EC117,"Variação (%)",TRUE)</f>
        <v>-2.2829999999999999E-3</v>
      </c>
      <c r="BT117" s="17" cm="1">
        <f t="array" aca="1" ref="BT117" ca="1">_FV(EC117,"Baixo")</f>
        <v>4.3</v>
      </c>
      <c r="BU117" s="17" cm="1">
        <f t="array" aca="1" ref="BU117" ca="1">_FV(EC117,"Alto")</f>
        <v>4.4400000000000004</v>
      </c>
      <c r="BV117" s="24"/>
      <c r="BW117" s="63">
        <f ca="1">SQRT(22.5*(BL117/VLOOKUP(BM117,Fundamentus!A:U,3,FALSE))*(BL117/VLOOKUP(BM117,Fundamentus!A:U,4,FALSE)))</f>
        <v>6.363028147704564</v>
      </c>
      <c r="BY117" s="62">
        <f t="shared" ca="1" si="112"/>
        <v>0</v>
      </c>
      <c r="BZ117" s="8"/>
      <c r="CA117" s="61">
        <f t="shared" si="113"/>
        <v>4.2</v>
      </c>
      <c r="CB117" s="61">
        <f t="shared" si="114"/>
        <v>7.96</v>
      </c>
      <c r="CC117" s="61">
        <f t="shared" si="115"/>
        <v>5.9328571428571406</v>
      </c>
      <c r="CD117" s="14"/>
      <c r="CE117" s="35">
        <f t="shared" si="98"/>
        <v>3.7575831567072568</v>
      </c>
      <c r="CF117" s="15">
        <f t="shared" si="116"/>
        <v>4.3669999999999973</v>
      </c>
      <c r="CG117" s="35">
        <f t="shared" si="99"/>
        <v>4.9764168432927374</v>
      </c>
      <c r="CI117" s="14"/>
      <c r="CJ117" s="17">
        <f t="shared" si="100"/>
        <v>-0.64666666666666739</v>
      </c>
      <c r="CK117" s="17">
        <f t="shared" si="101"/>
        <v>1.7766666666666664</v>
      </c>
      <c r="CL117" s="17">
        <f t="shared" si="102"/>
        <v>3.1133333333333324</v>
      </c>
      <c r="CM117" s="38">
        <f t="shared" si="117"/>
        <v>5.5366666666666662</v>
      </c>
      <c r="CN117" s="17">
        <f t="shared" si="103"/>
        <v>6.8733333333333322</v>
      </c>
      <c r="CO117" s="17">
        <f t="shared" si="104"/>
        <v>9.2966666666666669</v>
      </c>
      <c r="CP117" s="17">
        <f t="shared" si="105"/>
        <v>10.633333333333333</v>
      </c>
      <c r="CQ117" s="2" cm="1">
        <f t="array" aca="1" ref="CQ117" ca="1">MAX(_xlfn._xlws.FILTER(CJ117:CP117,CJ117:CP117&lt;BL117))</f>
        <v>3.1133333333333324</v>
      </c>
      <c r="CR117" s="2" cm="1">
        <f t="array" aca="1" ref="CR117" ca="1">MIN(_xlfn._xlws.FILTER($CJ117:$CP117,$CJ117:$CP117&gt;BL117))</f>
        <v>5.5366666666666662</v>
      </c>
      <c r="CS117" s="16">
        <f t="shared" ca="1" si="136"/>
        <v>0.77837259100642431</v>
      </c>
      <c r="CT117" s="20">
        <f t="shared" ca="1" si="137"/>
        <v>-0.38918629550321215</v>
      </c>
      <c r="CU117" s="20">
        <f t="shared" ca="1" si="138"/>
        <v>-0.25945753033547475</v>
      </c>
      <c r="CV117" s="20">
        <f t="shared" ca="1" si="139"/>
        <v>-0.15567451820128486</v>
      </c>
      <c r="CW117" s="20">
        <f t="shared" ca="1" si="140"/>
        <v>-8.648584344515825E-2</v>
      </c>
      <c r="CX117" s="20">
        <f t="shared" ca="1" si="141"/>
        <v>-4.5786623000377898E-2</v>
      </c>
      <c r="CY117" s="20">
        <f t="shared" ca="1" si="142"/>
        <v>-2.3587048212315886E-2</v>
      </c>
      <c r="CZ117" s="20">
        <f t="shared" ca="1" si="143"/>
        <v>-1.1974962938560374E-2</v>
      </c>
      <c r="DA117" s="21">
        <f t="shared" ca="1" si="144"/>
        <v>1.1974962938560374E-2</v>
      </c>
      <c r="DB117" s="21">
        <f t="shared" ca="1" si="145"/>
        <v>2.3587048212315886E-2</v>
      </c>
      <c r="DC117" s="21">
        <f t="shared" ca="1" si="146"/>
        <v>4.5786623000377898E-2</v>
      </c>
      <c r="DD117" s="21">
        <f t="shared" ca="1" si="147"/>
        <v>8.648584344515825E-2</v>
      </c>
      <c r="DE117" s="21">
        <f t="shared" ca="1" si="148"/>
        <v>0.15567451820128486</v>
      </c>
      <c r="DF117" s="21">
        <f t="shared" ca="1" si="149"/>
        <v>0.25945753033547475</v>
      </c>
      <c r="DG117" s="21">
        <f t="shared" ca="1" si="150"/>
        <v>0.38918629550321215</v>
      </c>
      <c r="DI117" s="16" cm="1">
        <f t="array" aca="1" ref="DI117" ca="1">MAX(_xlfn._xlws.FILTER(CT117:DG117,CT117:DG117&lt;BR117))</f>
        <v>-1.1974962938560374E-2</v>
      </c>
      <c r="DJ117" s="16" cm="1">
        <f t="array" aca="1" ref="DJ117" ca="1">MIN(_xlfn._xlws.FILTER(CT117:DG117,CT117:DG117&gt;BR117))</f>
        <v>1.1974962938560374E-2</v>
      </c>
      <c r="DK117" s="2" cm="1">
        <f t="array" aca="1" ref="DK117" ca="1">_FV(EC117,"Fechamento anterior",TRUE)</f>
        <v>4.38</v>
      </c>
      <c r="DL117" s="28">
        <f t="shared" ca="1" si="106"/>
        <v>0.40467172906735177</v>
      </c>
      <c r="DM117" s="15">
        <f t="shared" ca="1" si="151"/>
        <v>4.3275496623291057</v>
      </c>
      <c r="DN117" s="15">
        <f t="shared" ca="1" si="152"/>
        <v>4.4324503376708941</v>
      </c>
      <c r="DO117" s="9"/>
      <c r="DP117" s="9"/>
      <c r="DQ117" s="9"/>
      <c r="DR117" s="89">
        <v>8.152139299680285E-3</v>
      </c>
      <c r="DS117" s="89">
        <v>3.0202213255940198E-2</v>
      </c>
      <c r="DT117" s="89">
        <v>2.3949925877120748E-2</v>
      </c>
      <c r="DU117" s="89">
        <v>2.3949925877120748E-2</v>
      </c>
      <c r="DV117" s="89">
        <f t="shared" ca="1" si="107"/>
        <v>2.3949925877120748E-2</v>
      </c>
      <c r="DW117" s="72">
        <f t="shared" ca="1" si="108"/>
        <v>4.9227388987043361E-3</v>
      </c>
      <c r="DX117" s="37"/>
      <c r="DY117" s="35">
        <f t="shared" si="118"/>
        <v>0.30470842164637024</v>
      </c>
      <c r="DZ117" s="56"/>
      <c r="EA117" s="56"/>
      <c r="EC117" s="2" t="e" vm="116">
        <v>#VALUE!</v>
      </c>
      <c r="EE117" s="10" cm="1">
        <f t="array" aca="1" ref="EE117" ca="1">_FV(EC117,"Ações em circulação",TRUE)</f>
        <v>1253079000</v>
      </c>
      <c r="EF117" s="18">
        <f>VLOOKUP(BM117,Fundamentus!A:U,5,FALSE)</f>
        <v>0.22500000000000001</v>
      </c>
      <c r="EG117" s="2">
        <f t="shared" ca="1" si="109"/>
        <v>24337578800</v>
      </c>
      <c r="EH117" s="17">
        <v>279882156.19999999</v>
      </c>
      <c r="EI117" s="17">
        <f t="shared" ca="1" si="110"/>
        <v>279882156.19999999</v>
      </c>
      <c r="EK117" s="16">
        <f t="shared" ca="1" si="97"/>
        <v>0</v>
      </c>
      <c r="EL117" s="32" t="str">
        <f>IF(VLOOKUP(BM117,Fundamentus!A:U,3,FALSE)&lt;15,"Bom",IF(VLOOKUP(BM117,Fundamentus!A:U,3,FALSE)&gt;15,"Ruim","n/a"))</f>
        <v>Ruim</v>
      </c>
      <c r="EM117" s="28" t="str">
        <f>IF(VLOOKUP(BM117,Fundamentus!A:U,4,FALSE)&lt;1,"Baixo",IF(VLOOKUP(BM117,Fundamentus!A:U,4,FALSE)&lt;1.5,"Moderado",IF(VLOOKUP(BM117,Fundamentus!A:U,4,FALSE)&gt;1.5,"Alto","n/a")))</f>
        <v>Baixo</v>
      </c>
      <c r="EN117" s="17" t="str">
        <f>IF(VLOOKUP(BM117,Fundamentus!A:U,8,FALSE)&lt;0,"Risco elevado",IF(VLOOKUP(BM117,Fundamentus!A:U,8,FALSE)&lt;1,"Saudável",IF(VLOOKUP(BM117,Fundamentus!A:U,8,FALSE)&lt;3,"Estável",IF(VLOOKUP(BM117,Fundamentus!A:U,8,FALSE)&gt;3,"Alerta","n/a"))))</f>
        <v>Saudável</v>
      </c>
      <c r="EO117" s="28" t="str">
        <f t="shared" si="111"/>
        <v>Ruim</v>
      </c>
      <c r="EP117" s="17" t="str">
        <f>IF(VLOOKUP(BM117,Fundamentus!A:U,12,FALSE)&lt;2,"Subvalorizada",IF(VLOOKUP(BM117,Fundamentus!A:U,12,FALSE)&lt;6,"Muita barata",IF(VLOOKUP(BM117,Fundamentus!A:U,12,FALSE)&lt;6,"Barata",IF(VLOOKUP(BM117,Fundamentus!A:U,12,FALSE)&lt;8,"Atrativa",IF(VLOOKUP(BM117,Fundamentus!A:U,12,FALSE)&gt;8,"Supervalorizada","n/a")))))</f>
        <v>Muita barata</v>
      </c>
      <c r="ER117" s="17" t="str">
        <f>IF(VLOOKUP(BM117,Fundamentus!A:U,17,FALSE)&lt;0.1,"Fraco retorno",IF(VLOOKUP(BM117,Fundamentus!A:U,17,FALSE)&gt;0.1,"Bom retorno","n/a"))</f>
        <v>Fraco retorno</v>
      </c>
      <c r="ES117" s="17" t="str">
        <f>IF(VLOOKUP(BM117,Fundamentus!A:U,16,FALSE)&lt;0.1,"Ineficiente",IF(VLOOKUP(BM117,Fundamentus!A:U,16,FALSE)&gt;0.1,"Eficiente","n/a"))</f>
        <v>Ineficiente</v>
      </c>
      <c r="ET117" s="33" t="str">
        <f>IF(VLOOKUP(BM117,Fundamentus!A:U,16,FALSE)&lt;0.1,"Oper. Ineficiente",IF(VLOOKUP(BM117,Fundamentus!A:U,16,FALSE)&gt;0.1,"Oper.Eficiente","n/a"))</f>
        <v>Oper. Ineficiente</v>
      </c>
      <c r="EU117" s="34">
        <f>VLOOKUP(BM117,Fundamentus!A:U,14,FALSE)</f>
        <v>1.15E-2</v>
      </c>
      <c r="EV117" s="17" t="str">
        <f>IF(VLOOKUP(BM117,Fundamentus!A:U,21,FALSE)&lt;0,"Negativo",IF(VLOOKUP(BM117,Fundamentus!A:U,21,FALSE)&lt;0.05,"Fraco",IF(VLOOKUP(BM117,Fundamentus!A:U,21,FALSE)&lt;0.1,"Bom",IF(VLOOKUP(BM117,Fundamentus!A:U,21,FALSE)&gt;0.1,"Muito bom","n/a"))))</f>
        <v>Fraco</v>
      </c>
      <c r="EX117" s="29" t="str">
        <f>IF(VLOOKUP(BM117,Fundamentus!A:U,15,FALSE)&gt;1,"Bom",IF(VLOOKUP(BM117,Fundamentus!A:U,15,FALSE)&lt;1,"Ruim","n/a"))</f>
        <v>Bom</v>
      </c>
      <c r="EY117" s="17" t="str">
        <f>IF(VLOOKUP(BM117,Fundamentus!A:U,20,FALSE)&lt;0.5,"Baixa",IF(VLOOKUP(BM117,Fundamentus!A:U,20,FALSE)&lt;1,"Moderada",IF(VLOOKUP(BM117,Fundamentus!A:U,20,FALSE)&lt;2,"Alerta",IF(VLOOKUP(BM117,Fundamentus!A:U,20,FALSE)&gt;2,"Alta","n/a"))))</f>
        <v>Baixa</v>
      </c>
      <c r="EZ117" s="10"/>
    </row>
    <row r="118" spans="1:156" s="2" customFormat="1" ht="11.25" x14ac:dyDescent="0.2">
      <c r="A118" s="4">
        <v>20.61</v>
      </c>
      <c r="B118" s="4">
        <v>18.97</v>
      </c>
      <c r="C118" s="4">
        <v>18.850000000000001</v>
      </c>
      <c r="D118" s="4">
        <v>18.78</v>
      </c>
      <c r="E118" s="4">
        <v>18.32</v>
      </c>
      <c r="F118" s="4">
        <v>19.3</v>
      </c>
      <c r="G118" s="4">
        <v>18.55</v>
      </c>
      <c r="H118" s="4">
        <v>18.95</v>
      </c>
      <c r="I118" s="4">
        <v>20.78</v>
      </c>
      <c r="J118" s="4">
        <v>21.72</v>
      </c>
      <c r="K118" s="4">
        <v>21.01</v>
      </c>
      <c r="L118" s="4">
        <v>21.66</v>
      </c>
      <c r="M118" s="4">
        <v>21.58</v>
      </c>
      <c r="N118" s="4">
        <v>21.93</v>
      </c>
      <c r="O118" s="4">
        <v>23.31</v>
      </c>
      <c r="P118" s="4">
        <v>23.37</v>
      </c>
      <c r="Q118" s="4">
        <v>24</v>
      </c>
      <c r="R118" s="4">
        <v>23.82</v>
      </c>
      <c r="S118" s="4">
        <v>24.49</v>
      </c>
      <c r="T118" s="4">
        <v>25.49</v>
      </c>
      <c r="U118" s="4">
        <v>24.39</v>
      </c>
      <c r="V118" s="4">
        <v>22.7</v>
      </c>
      <c r="W118" s="4">
        <v>22.64</v>
      </c>
      <c r="X118" s="4">
        <v>22.21</v>
      </c>
      <c r="Y118" s="4">
        <v>23.63</v>
      </c>
      <c r="Z118" s="4">
        <v>24.55</v>
      </c>
      <c r="AA118" s="4">
        <v>23.96</v>
      </c>
      <c r="AB118" s="4">
        <v>22.7</v>
      </c>
      <c r="AC118" s="4">
        <v>22.66</v>
      </c>
      <c r="AD118" s="4">
        <v>22.75</v>
      </c>
      <c r="AE118" s="4">
        <v>20.56</v>
      </c>
      <c r="AF118" s="4">
        <v>20.71</v>
      </c>
      <c r="AG118" s="4">
        <v>19.52</v>
      </c>
      <c r="AH118" s="4">
        <v>18.3</v>
      </c>
      <c r="AI118" s="4">
        <v>17.989999999999998</v>
      </c>
      <c r="AJ118" s="4">
        <v>17.3</v>
      </c>
      <c r="AK118" s="4">
        <v>18.100000000000001</v>
      </c>
      <c r="AL118" s="4">
        <v>19.52</v>
      </c>
      <c r="AM118" s="4">
        <v>20.399999999999999</v>
      </c>
      <c r="AN118" s="4">
        <v>21.62</v>
      </c>
      <c r="AO118" s="4">
        <v>22.35</v>
      </c>
      <c r="AP118" s="4">
        <v>23.24</v>
      </c>
      <c r="AQ118" s="4">
        <v>23.75</v>
      </c>
      <c r="AR118" s="4">
        <v>21.21</v>
      </c>
      <c r="AS118" s="4">
        <v>22.16</v>
      </c>
      <c r="AT118" s="4">
        <v>23.33</v>
      </c>
      <c r="AU118" s="4">
        <v>24.004999999999999</v>
      </c>
      <c r="AV118" s="4">
        <v>24.79</v>
      </c>
      <c r="AW118" s="4">
        <v>25.36</v>
      </c>
      <c r="AX118" s="4">
        <v>25.93</v>
      </c>
      <c r="AY118" s="12">
        <v>27.34</v>
      </c>
      <c r="AZ118" s="12">
        <v>27.25</v>
      </c>
      <c r="BA118" s="12">
        <v>27.55</v>
      </c>
      <c r="BB118" s="15">
        <v>29.65</v>
      </c>
      <c r="BC118" s="52">
        <v>29.73</v>
      </c>
      <c r="BD118" s="52">
        <v>29.81</v>
      </c>
      <c r="BE118" s="52">
        <v>28.66</v>
      </c>
      <c r="BF118" s="52">
        <v>29.61</v>
      </c>
      <c r="BG118" s="67">
        <v>29.09</v>
      </c>
      <c r="BH118" s="52">
        <v>29.15</v>
      </c>
      <c r="BI118" s="52">
        <v>29.2</v>
      </c>
      <c r="BJ118" s="52">
        <v>29.95</v>
      </c>
      <c r="BK118" s="52">
        <v>29.75</v>
      </c>
      <c r="BL118" s="52" cm="1">
        <f t="array" aca="1" ref="BL118" ca="1">_FV(EC118,"Preço")</f>
        <v>29.75</v>
      </c>
      <c r="BM118" s="69" t="s">
        <v>114</v>
      </c>
      <c r="BN118" s="36" cm="1">
        <f t="array" aca="1" ref="BN118" ca="1">_FV(EC118,"Média de volume",TRUE)</f>
        <v>2079920</v>
      </c>
      <c r="BO118" s="36">
        <v>2071900</v>
      </c>
      <c r="BP118" s="36" cm="1">
        <f t="array" aca="1" ref="BP118" ca="1">_FV(EC118,"Volume")</f>
        <v>2071900</v>
      </c>
      <c r="BQ118" s="24" cm="1">
        <f t="array" aca="1" ref="BQ118" ca="1">_FV(EC118,"Beta")</f>
        <v>1.0411999999999999</v>
      </c>
      <c r="BR118" s="71" cm="1">
        <f t="array" aca="1" ref="BR118" ca="1">_FV(EC118,"Variação (%)",TRUE)</f>
        <v>3.3729999999999997E-3</v>
      </c>
      <c r="BT118" s="17" cm="1">
        <f t="array" aca="1" ref="BT118" ca="1">_FV(EC118,"Baixo")</f>
        <v>29.34</v>
      </c>
      <c r="BU118" s="17" cm="1">
        <f t="array" aca="1" ref="BU118" ca="1">_FV(EC118,"Alto")</f>
        <v>30.04</v>
      </c>
      <c r="BV118" s="24"/>
      <c r="BW118" s="63">
        <f ca="1">SQRT(22.5*(BL118/VLOOKUP(BM118,Fundamentus!A:U,3,FALSE))*(BL118/VLOOKUP(BM118,Fundamentus!A:U,4,FALSE)))</f>
        <v>15.036046474770396</v>
      </c>
      <c r="BY118" s="62">
        <f t="shared" ca="1" si="112"/>
        <v>0</v>
      </c>
      <c r="BZ118" s="8"/>
      <c r="CA118" s="61">
        <f t="shared" si="113"/>
        <v>17.3</v>
      </c>
      <c r="CB118" s="61">
        <f t="shared" si="114"/>
        <v>29.95</v>
      </c>
      <c r="CC118" s="61">
        <f t="shared" si="115"/>
        <v>23.247063492063489</v>
      </c>
      <c r="CD118" s="14"/>
      <c r="CE118" s="35">
        <f t="shared" si="98"/>
        <v>28.983096489412571</v>
      </c>
      <c r="CF118" s="15">
        <f t="shared" si="116"/>
        <v>29.6400000000001</v>
      </c>
      <c r="CG118" s="35">
        <f t="shared" si="99"/>
        <v>30.296903510587629</v>
      </c>
      <c r="CI118" s="14"/>
      <c r="CJ118" s="17">
        <f t="shared" si="100"/>
        <v>8.8666666666666707</v>
      </c>
      <c r="CK118" s="17">
        <f t="shared" si="101"/>
        <v>13.083333333333336</v>
      </c>
      <c r="CL118" s="17">
        <f t="shared" si="102"/>
        <v>21.516666666666669</v>
      </c>
      <c r="CM118" s="38">
        <f t="shared" si="117"/>
        <v>25.733333333333334</v>
      </c>
      <c r="CN118" s="17">
        <f t="shared" si="103"/>
        <v>34.166666666666671</v>
      </c>
      <c r="CO118" s="17">
        <f t="shared" si="104"/>
        <v>38.383333333333333</v>
      </c>
      <c r="CP118" s="17">
        <f t="shared" si="105"/>
        <v>46.816666666666663</v>
      </c>
      <c r="CQ118" s="2" cm="1">
        <f t="array" aca="1" ref="CQ118" ca="1">MAX(_xlfn._xlws.FILTER(CJ118:CP118,CJ118:CP118&lt;BL118))</f>
        <v>25.733333333333334</v>
      </c>
      <c r="CR118" s="2" cm="1">
        <f t="array" aca="1" ref="CR118" ca="1">MIN(_xlfn._xlws.FILTER($CJ118:$CP118,$CJ118:$CP118&gt;BL118))</f>
        <v>34.166666666666671</v>
      </c>
      <c r="CS118" s="16">
        <f t="shared" ca="1" si="136"/>
        <v>0.32772020725388606</v>
      </c>
      <c r="CT118" s="20">
        <f t="shared" ca="1" si="137"/>
        <v>-0.16386010362694303</v>
      </c>
      <c r="CU118" s="20">
        <f t="shared" ca="1" si="138"/>
        <v>-0.10924006908462869</v>
      </c>
      <c r="CV118" s="20">
        <f t="shared" ca="1" si="139"/>
        <v>-6.5544041450777218E-2</v>
      </c>
      <c r="CW118" s="20">
        <f t="shared" ca="1" si="140"/>
        <v>-3.6413356361542894E-2</v>
      </c>
      <c r="CX118" s="20">
        <f t="shared" ca="1" si="141"/>
        <v>-1.927765925022859E-2</v>
      </c>
      <c r="CY118" s="20">
        <f t="shared" ca="1" si="142"/>
        <v>-9.9309153713298803E-3</v>
      </c>
      <c r="CZ118" s="20">
        <f t="shared" ca="1" si="143"/>
        <v>-5.0418493423674783E-3</v>
      </c>
      <c r="DA118" s="21">
        <f t="shared" ca="1" si="144"/>
        <v>5.0418493423674783E-3</v>
      </c>
      <c r="DB118" s="21">
        <f t="shared" ca="1" si="145"/>
        <v>9.9309153713298803E-3</v>
      </c>
      <c r="DC118" s="21">
        <f t="shared" ca="1" si="146"/>
        <v>1.927765925022859E-2</v>
      </c>
      <c r="DD118" s="21">
        <f t="shared" ca="1" si="147"/>
        <v>3.6413356361542894E-2</v>
      </c>
      <c r="DE118" s="21">
        <f t="shared" ca="1" si="148"/>
        <v>6.5544041450777218E-2</v>
      </c>
      <c r="DF118" s="21">
        <f t="shared" ca="1" si="149"/>
        <v>0.10924006908462869</v>
      </c>
      <c r="DG118" s="21">
        <f t="shared" ca="1" si="150"/>
        <v>0.16386010362694303</v>
      </c>
      <c r="DI118" s="16" cm="1">
        <f t="array" aca="1" ref="DI118" ca="1">MAX(_xlfn._xlws.FILTER(CT118:DG118,CT118:DG118&lt;BR118))</f>
        <v>-5.0418493423674783E-3</v>
      </c>
      <c r="DJ118" s="16" cm="1">
        <f t="array" aca="1" ref="DJ118" ca="1">MIN(_xlfn._xlws.FILTER(CT118:DG118,CT118:DG118&gt;BR118))</f>
        <v>5.0418493423674783E-3</v>
      </c>
      <c r="DK118" s="2" cm="1">
        <f t="array" aca="1" ref="DK118" ca="1">_FV(EC118,"Fechamento anterior",TRUE)</f>
        <v>29.65</v>
      </c>
      <c r="DL118" s="28">
        <f t="shared" ca="1" si="106"/>
        <v>0.83446866939059028</v>
      </c>
      <c r="DM118" s="15">
        <f t="shared" ca="1" si="151"/>
        <v>29.500509166998803</v>
      </c>
      <c r="DN118" s="15">
        <f t="shared" ca="1" si="152"/>
        <v>29.799490833001194</v>
      </c>
      <c r="DO118" s="9"/>
      <c r="DP118" s="9"/>
      <c r="DQ118" s="9"/>
      <c r="DR118" s="89">
        <v>3.8769306664925493E-3</v>
      </c>
      <c r="DS118" s="89">
        <v>1.6674386289949043E-2</v>
      </c>
      <c r="DT118" s="89">
        <v>9.3467438788987101E-3</v>
      </c>
      <c r="DU118" s="89">
        <v>1.0083698684734957E-2</v>
      </c>
      <c r="DV118" s="89">
        <f t="shared" ca="1" si="107"/>
        <v>1.0083698684734957E-2</v>
      </c>
      <c r="DW118" s="72">
        <f t="shared" ca="1" si="108"/>
        <v>0.16745229432784856</v>
      </c>
      <c r="DX118" s="37"/>
      <c r="DY118" s="35">
        <f t="shared" si="118"/>
        <v>0.32845175529376552</v>
      </c>
      <c r="DZ118" s="56"/>
      <c r="EA118" s="56"/>
      <c r="EC118" s="2" t="e" vm="117">
        <v>#VALUE!</v>
      </c>
      <c r="EE118" s="10" cm="1">
        <f t="array" aca="1" ref="EE118" ca="1">_FV(EC118,"Ações em circulação",TRUE)</f>
        <v>291875100</v>
      </c>
      <c r="EF118" s="18">
        <f>VLOOKUP(BM118,Fundamentus!A:U,5,FALSE)</f>
        <v>1.972</v>
      </c>
      <c r="EG118" s="2">
        <f t="shared" ca="1" si="109"/>
        <v>4403288146.5517244</v>
      </c>
      <c r="EH118" s="17">
        <v>796114496.89655173</v>
      </c>
      <c r="EI118" s="17">
        <f t="shared" ca="1" si="110"/>
        <v>796114496.89655173</v>
      </c>
      <c r="EK118" s="16">
        <f t="shared" ca="1" si="97"/>
        <v>0</v>
      </c>
      <c r="EL118" s="32" t="str">
        <f>IF(VLOOKUP(BM118,Fundamentus!A:U,3,FALSE)&lt;15,"Bom",IF(VLOOKUP(BM118,Fundamentus!A:U,3,FALSE)&gt;15,"Ruim","n/a"))</f>
        <v>Bom</v>
      </c>
      <c r="EM118" s="28" t="str">
        <f>IF(VLOOKUP(BM118,Fundamentus!A:U,4,FALSE)&lt;1,"Baixo",IF(VLOOKUP(BM118,Fundamentus!A:U,4,FALSE)&lt;1.5,"Moderado",IF(VLOOKUP(BM118,Fundamentus!A:U,4,FALSE)&gt;1.5,"Alto","n/a")))</f>
        <v>Alto</v>
      </c>
      <c r="EN118" s="17" t="str">
        <f>IF(VLOOKUP(BM118,Fundamentus!A:U,8,FALSE)&lt;0,"Risco elevado",IF(VLOOKUP(BM118,Fundamentus!A:U,8,FALSE)&lt;1,"Saudável",IF(VLOOKUP(BM118,Fundamentus!A:U,8,FALSE)&lt;3,"Estável",IF(VLOOKUP(BM118,Fundamentus!A:U,8,FALSE)&gt;3,"Alerta","n/a"))))</f>
        <v>Alerta</v>
      </c>
      <c r="EO118" s="28" t="str">
        <f t="shared" si="111"/>
        <v>Bom</v>
      </c>
      <c r="EP118" s="17" t="str">
        <f>IF(VLOOKUP(BM118,Fundamentus!A:U,12,FALSE)&lt;2,"Subvalorizada",IF(VLOOKUP(BM118,Fundamentus!A:U,12,FALSE)&lt;6,"Muita barata",IF(VLOOKUP(BM118,Fundamentus!A:U,12,FALSE)&lt;6,"Barata",IF(VLOOKUP(BM118,Fundamentus!A:U,12,FALSE)&lt;8,"Atrativa",IF(VLOOKUP(BM118,Fundamentus!A:U,12,FALSE)&gt;8,"Supervalorizada","n/a")))))</f>
        <v>Atrativa</v>
      </c>
      <c r="ER118" s="17" t="str">
        <f>IF(VLOOKUP(BM118,Fundamentus!A:U,17,FALSE)&lt;0.1,"Fraco retorno",IF(VLOOKUP(BM118,Fundamentus!A:U,17,FALSE)&gt;0.1,"Bom retorno","n/a"))</f>
        <v>Bom retorno</v>
      </c>
      <c r="ES118" s="17" t="str">
        <f>IF(VLOOKUP(BM118,Fundamentus!A:U,16,FALSE)&lt;0.1,"Ineficiente",IF(VLOOKUP(BM118,Fundamentus!A:U,16,FALSE)&gt;0.1,"Eficiente","n/a"))</f>
        <v>Eficiente</v>
      </c>
      <c r="ET118" s="33" t="str">
        <f>IF(VLOOKUP(BM118,Fundamentus!A:U,16,FALSE)&lt;0.1,"Oper. Ineficiente",IF(VLOOKUP(BM118,Fundamentus!A:U,16,FALSE)&gt;0.1,"Oper.Eficiente","n/a"))</f>
        <v>Oper.Eficiente</v>
      </c>
      <c r="EU118" s="34">
        <f>VLOOKUP(BM118,Fundamentus!A:U,14,FALSE)</f>
        <v>0.18079999999999999</v>
      </c>
      <c r="EV118" s="17" t="str">
        <f>IF(VLOOKUP(BM118,Fundamentus!A:U,21,FALSE)&lt;0,"Negativo",IF(VLOOKUP(BM118,Fundamentus!A:U,21,FALSE)&lt;0.05,"Fraco",IF(VLOOKUP(BM118,Fundamentus!A:U,21,FALSE)&lt;0.1,"Bom",IF(VLOOKUP(BM118,Fundamentus!A:U,21,FALSE)&gt;0.1,"Muito bom","n/a"))))</f>
        <v>Muito bom</v>
      </c>
      <c r="EX118" s="29" t="str">
        <f>IF(VLOOKUP(BM118,Fundamentus!A:U,15,FALSE)&gt;1,"Bom",IF(VLOOKUP(BM118,Fundamentus!A:U,15,FALSE)&lt;1,"Ruim","n/a"))</f>
        <v>Bom</v>
      </c>
      <c r="EY118" s="17" t="str">
        <f>IF(VLOOKUP(BM118,Fundamentus!A:U,20,FALSE)&lt;0.5,"Baixa",IF(VLOOKUP(BM118,Fundamentus!A:U,20,FALSE)&lt;1,"Moderada",IF(VLOOKUP(BM118,Fundamentus!A:U,20,FALSE)&lt;2,"Alerta",IF(VLOOKUP(BM118,Fundamentus!A:U,20,FALSE)&gt;2,"Alta","n/a"))))</f>
        <v>Alerta</v>
      </c>
      <c r="EZ118" s="10"/>
    </row>
    <row r="119" spans="1:156" s="2" customFormat="1" ht="11.25" x14ac:dyDescent="0.2">
      <c r="A119" s="4">
        <v>26.63</v>
      </c>
      <c r="B119" s="4">
        <v>25.1</v>
      </c>
      <c r="C119" s="4">
        <v>24.84</v>
      </c>
      <c r="D119" s="4">
        <v>23.7</v>
      </c>
      <c r="E119" s="4">
        <v>23.17</v>
      </c>
      <c r="F119" s="4">
        <v>22.16</v>
      </c>
      <c r="G119" s="4">
        <v>21.75</v>
      </c>
      <c r="H119" s="4">
        <v>21.59</v>
      </c>
      <c r="I119" s="4">
        <v>21.57</v>
      </c>
      <c r="J119" s="4">
        <v>22.1</v>
      </c>
      <c r="K119" s="4">
        <v>22.7</v>
      </c>
      <c r="L119" s="4">
        <v>23.22</v>
      </c>
      <c r="M119" s="4">
        <v>22.9</v>
      </c>
      <c r="N119" s="4">
        <v>22.84</v>
      </c>
      <c r="O119" s="4">
        <v>23.05</v>
      </c>
      <c r="P119" s="4">
        <v>24.06</v>
      </c>
      <c r="Q119" s="4">
        <v>23.65</v>
      </c>
      <c r="R119" s="4">
        <v>23.36</v>
      </c>
      <c r="S119" s="4">
        <v>23.02</v>
      </c>
      <c r="T119" s="4">
        <v>22.8</v>
      </c>
      <c r="U119" s="4">
        <v>21.35</v>
      </c>
      <c r="V119" s="4">
        <v>21.34</v>
      </c>
      <c r="W119" s="4">
        <v>21.18</v>
      </c>
      <c r="X119" s="4">
        <v>20.84</v>
      </c>
      <c r="Y119" s="4">
        <v>20.46</v>
      </c>
      <c r="Z119" s="4">
        <v>20.100000000000001</v>
      </c>
      <c r="AA119" s="4">
        <v>20.5</v>
      </c>
      <c r="AB119" s="4">
        <v>20.43</v>
      </c>
      <c r="AC119" s="4">
        <v>19.29</v>
      </c>
      <c r="AD119" s="4">
        <v>18.32</v>
      </c>
      <c r="AE119" s="4">
        <v>17.940000000000001</v>
      </c>
      <c r="AF119" s="4">
        <v>17.670000000000002</v>
      </c>
      <c r="AG119" s="4">
        <v>16.86</v>
      </c>
      <c r="AH119" s="4">
        <v>16.25</v>
      </c>
      <c r="AI119" s="4">
        <v>15.85</v>
      </c>
      <c r="AJ119" s="4">
        <v>15.55</v>
      </c>
      <c r="AK119" s="4">
        <v>15.57</v>
      </c>
      <c r="AL119" s="4">
        <v>15.9</v>
      </c>
      <c r="AM119" s="4">
        <v>16.079999999999998</v>
      </c>
      <c r="AN119" s="4">
        <v>16.54</v>
      </c>
      <c r="AO119" s="4">
        <v>16.09</v>
      </c>
      <c r="AP119" s="4">
        <v>17.350000000000001</v>
      </c>
      <c r="AQ119" s="4">
        <v>16.399999999999999</v>
      </c>
      <c r="AR119" s="4">
        <v>16.63</v>
      </c>
      <c r="AS119" s="4">
        <v>15.98</v>
      </c>
      <c r="AT119" s="4">
        <v>17.12</v>
      </c>
      <c r="AU119" s="4">
        <v>17.795000000000002</v>
      </c>
      <c r="AV119" s="4">
        <v>17.57</v>
      </c>
      <c r="AW119" s="4">
        <v>17</v>
      </c>
      <c r="AX119" s="4">
        <v>16.78</v>
      </c>
      <c r="AY119" s="12">
        <v>17.25</v>
      </c>
      <c r="AZ119" s="12">
        <v>18.010000000000002</v>
      </c>
      <c r="BA119" s="12">
        <v>17.829999999999998</v>
      </c>
      <c r="BB119" s="15">
        <v>16.2</v>
      </c>
      <c r="BC119" s="52">
        <v>17.36</v>
      </c>
      <c r="BD119" s="52">
        <v>16.63</v>
      </c>
      <c r="BE119" s="52">
        <v>16.29</v>
      </c>
      <c r="BF119" s="52">
        <v>16.190000000000001</v>
      </c>
      <c r="BG119" s="67">
        <v>16.989999999999998</v>
      </c>
      <c r="BH119" s="52">
        <v>17.09</v>
      </c>
      <c r="BI119" s="52">
        <v>16.86</v>
      </c>
      <c r="BJ119" s="52">
        <v>17.989999999999998</v>
      </c>
      <c r="BK119" s="52">
        <v>17.100000000000001</v>
      </c>
      <c r="BL119" s="52" cm="1">
        <f t="array" aca="1" ref="BL119" ca="1">_FV(EC119,"Preço")</f>
        <v>17.100000000000001</v>
      </c>
      <c r="BM119" s="69" t="s">
        <v>115</v>
      </c>
      <c r="BN119" s="36" cm="1">
        <f t="array" aca="1" ref="BN119" ca="1">_FV(EC119,"Média de volume",TRUE)</f>
        <v>3966070</v>
      </c>
      <c r="BO119" s="36">
        <v>3578900</v>
      </c>
      <c r="BP119" s="36" cm="1">
        <f t="array" aca="1" ref="BP119" ca="1">_FV(EC119,"Volume")</f>
        <v>3578900</v>
      </c>
      <c r="BQ119" s="24" cm="1">
        <f t="array" aca="1" ref="BQ119" ca="1">_FV(EC119,"Beta")</f>
        <v>1.1513</v>
      </c>
      <c r="BR119" s="71" cm="1">
        <f t="array" aca="1" ref="BR119" ca="1">_FV(EC119,"Variação (%)",TRUE)</f>
        <v>-2.3414999999999998E-2</v>
      </c>
      <c r="BT119" s="17" cm="1">
        <f t="array" aca="1" ref="BT119" ca="1">_FV(EC119,"Baixo")</f>
        <v>17.09</v>
      </c>
      <c r="BU119" s="17" cm="1">
        <f t="array" aca="1" ref="BU119" ca="1">_FV(EC119,"Alto")</f>
        <v>17.54</v>
      </c>
      <c r="BV119" s="24"/>
      <c r="BW119" s="63">
        <f ca="1">SQRT(22.5*(BL119/VLOOKUP(BM119,Fundamentus!A:U,3,FALSE))*(BL119/VLOOKUP(BM119,Fundamentus!A:U,4,FALSE)))</f>
        <v>25.076656668651417</v>
      </c>
      <c r="BY119" s="62">
        <f t="shared" ca="1" si="112"/>
        <v>0</v>
      </c>
      <c r="BZ119" s="8"/>
      <c r="CA119" s="61">
        <f t="shared" si="113"/>
        <v>15.55</v>
      </c>
      <c r="CB119" s="61">
        <f t="shared" si="114"/>
        <v>26.63</v>
      </c>
      <c r="CC119" s="61">
        <f t="shared" si="115"/>
        <v>19.408492063492062</v>
      </c>
      <c r="CD119" s="14"/>
      <c r="CE119" s="35">
        <f t="shared" si="98"/>
        <v>16.264139372486923</v>
      </c>
      <c r="CF119" s="15">
        <f t="shared" si="116"/>
        <v>17.317999999999984</v>
      </c>
      <c r="CG119" s="35">
        <f t="shared" si="99"/>
        <v>18.371860627513044</v>
      </c>
      <c r="CI119" s="14"/>
      <c r="CJ119" s="17">
        <f t="shared" si="100"/>
        <v>2.4033333333333395</v>
      </c>
      <c r="CK119" s="17">
        <f t="shared" si="101"/>
        <v>8.9766666666666701</v>
      </c>
      <c r="CL119" s="17">
        <f t="shared" si="102"/>
        <v>13.483333333333338</v>
      </c>
      <c r="CM119" s="38">
        <f t="shared" si="117"/>
        <v>20.056666666666668</v>
      </c>
      <c r="CN119" s="17">
        <f t="shared" si="103"/>
        <v>24.563333333333336</v>
      </c>
      <c r="CO119" s="17">
        <f t="shared" si="104"/>
        <v>31.136666666666667</v>
      </c>
      <c r="CP119" s="17">
        <f t="shared" si="105"/>
        <v>35.643333333333331</v>
      </c>
      <c r="CQ119" s="2" cm="1">
        <f t="array" aca="1" ref="CQ119" ca="1">MAX(_xlfn._xlws.FILTER(CJ119:CP119,CJ119:CP119&lt;BL119))</f>
        <v>13.483333333333338</v>
      </c>
      <c r="CR119" s="2" cm="1">
        <f t="array" aca="1" ref="CR119" ca="1">MIN(_xlfn._xlws.FILTER($CJ119:$CP119,$CJ119:$CP119&gt;BL119))</f>
        <v>20.056666666666668</v>
      </c>
      <c r="CS119" s="16">
        <f t="shared" ca="1" si="136"/>
        <v>0.48751545117428896</v>
      </c>
      <c r="CT119" s="20">
        <f t="shared" ca="1" si="137"/>
        <v>-0.24375772558714448</v>
      </c>
      <c r="CU119" s="20">
        <f t="shared" ca="1" si="138"/>
        <v>-0.16250515039142965</v>
      </c>
      <c r="CV119" s="20">
        <f t="shared" ca="1" si="139"/>
        <v>-9.7503090234857787E-2</v>
      </c>
      <c r="CW119" s="20">
        <f t="shared" ca="1" si="140"/>
        <v>-5.4168383463809887E-2</v>
      </c>
      <c r="CX119" s="20">
        <f t="shared" ca="1" si="141"/>
        <v>-2.8677379480840526E-2</v>
      </c>
      <c r="CY119" s="20">
        <f t="shared" ca="1" si="142"/>
        <v>-1.4773195490129969E-2</v>
      </c>
      <c r="CZ119" s="20">
        <f t="shared" ca="1" si="143"/>
        <v>-7.5002377103736764E-3</v>
      </c>
      <c r="DA119" s="21">
        <f t="shared" ca="1" si="144"/>
        <v>7.5002377103736764E-3</v>
      </c>
      <c r="DB119" s="21">
        <f t="shared" ca="1" si="145"/>
        <v>1.4773195490129969E-2</v>
      </c>
      <c r="DC119" s="21">
        <f t="shared" ca="1" si="146"/>
        <v>2.8677379480840526E-2</v>
      </c>
      <c r="DD119" s="21">
        <f t="shared" ca="1" si="147"/>
        <v>5.4168383463809887E-2</v>
      </c>
      <c r="DE119" s="21">
        <f t="shared" ca="1" si="148"/>
        <v>9.7503090234857787E-2</v>
      </c>
      <c r="DF119" s="21">
        <f t="shared" ca="1" si="149"/>
        <v>0.16250515039142965</v>
      </c>
      <c r="DG119" s="21">
        <f t="shared" ca="1" si="150"/>
        <v>0.24375772558714448</v>
      </c>
      <c r="DI119" s="16" cm="1">
        <f t="array" aca="1" ref="DI119" ca="1">MAX(_xlfn._xlws.FILTER(CT119:DG119,CT119:DG119&lt;BR119))</f>
        <v>-2.8677379480840526E-2</v>
      </c>
      <c r="DJ119" s="16" cm="1">
        <f t="array" aca="1" ref="DJ119" ca="1">MIN(_xlfn._xlws.FILTER(CT119:DG119,CT119:DG119&gt;BR119))</f>
        <v>-1.4773195490129969E-2</v>
      </c>
      <c r="DK119" s="2" cm="1">
        <f t="array" aca="1" ref="DK119" ca="1">_FV(EC119,"Fechamento anterior",TRUE)</f>
        <v>17.510000000000002</v>
      </c>
      <c r="DL119" s="28">
        <f t="shared" ca="1" si="106"/>
        <v>0.37846076872329237</v>
      </c>
      <c r="DM119" s="15">
        <f t="shared" ca="1" si="151"/>
        <v>17.007859085290484</v>
      </c>
      <c r="DN119" s="15">
        <f t="shared" ca="1" si="152"/>
        <v>17.251321346967824</v>
      </c>
      <c r="DO119" s="9"/>
      <c r="DP119" s="9"/>
      <c r="DQ119" s="9"/>
      <c r="DR119" s="89">
        <v>1.9169135615579248E-2</v>
      </c>
      <c r="DS119" s="89">
        <v>1.6580974292287682E-2</v>
      </c>
      <c r="DT119" s="89">
        <v>7.2729577797562926E-3</v>
      </c>
      <c r="DU119" s="89">
        <v>1.3904183990710558E-2</v>
      </c>
      <c r="DV119" s="89">
        <f t="shared" ca="1" si="107"/>
        <v>1.3904183990710558E-2</v>
      </c>
      <c r="DW119" s="72">
        <f t="shared" ca="1" si="108"/>
        <v>-0.20685847284609801</v>
      </c>
      <c r="DX119" s="37"/>
      <c r="DY119" s="35">
        <f t="shared" si="118"/>
        <v>0.52693031375652966</v>
      </c>
      <c r="DZ119" s="56"/>
      <c r="EA119" s="56"/>
      <c r="EC119" s="2" t="e" vm="118">
        <v>#VALUE!</v>
      </c>
      <c r="EE119" s="10" cm="1">
        <f t="array" aca="1" ref="EE119" ca="1">_FV(EC119,"Ações em circulação",TRUE)</f>
        <v>1115507000</v>
      </c>
      <c r="EF119" s="18">
        <f>VLOOKUP(BM119,Fundamentus!A:U,5,FALSE)</f>
        <v>0.13900000000000001</v>
      </c>
      <c r="EG119" s="2">
        <f t="shared" ca="1" si="109"/>
        <v>137231436690.64748</v>
      </c>
      <c r="EH119" s="17">
        <v>2442719573.0935249</v>
      </c>
      <c r="EI119" s="17">
        <f t="shared" ca="1" si="110"/>
        <v>2442719573.0935249</v>
      </c>
      <c r="EK119" s="16">
        <f t="shared" ca="1" si="97"/>
        <v>0</v>
      </c>
      <c r="EL119" s="32" t="str">
        <f>IF(VLOOKUP(BM119,Fundamentus!A:U,3,FALSE)&lt;15,"Bom",IF(VLOOKUP(BM119,Fundamentus!A:U,3,FALSE)&gt;15,"Ruim","n/a"))</f>
        <v>Bom</v>
      </c>
      <c r="EM119" s="28" t="str">
        <f>IF(VLOOKUP(BM119,Fundamentus!A:U,4,FALSE)&lt;1,"Baixo",IF(VLOOKUP(BM119,Fundamentus!A:U,4,FALSE)&lt;1.5,"Moderado",IF(VLOOKUP(BM119,Fundamentus!A:U,4,FALSE)&gt;1.5,"Alto","n/a")))</f>
        <v>Moderado</v>
      </c>
      <c r="EN119" s="17" t="str">
        <f>IF(VLOOKUP(BM119,Fundamentus!A:U,8,FALSE)&lt;0,"Risco elevado",IF(VLOOKUP(BM119,Fundamentus!A:U,8,FALSE)&lt;1,"Saudável",IF(VLOOKUP(BM119,Fundamentus!A:U,8,FALSE)&lt;3,"Estável",IF(VLOOKUP(BM119,Fundamentus!A:U,8,FALSE)&gt;3,"Alerta","n/a"))))</f>
        <v>Alerta</v>
      </c>
      <c r="EO119" s="28" t="str">
        <f t="shared" si="111"/>
        <v>Ruim</v>
      </c>
      <c r="EP119" s="17" t="str">
        <f>IF(VLOOKUP(BM119,Fundamentus!A:U,12,FALSE)&lt;2,"Subvalorizada",IF(VLOOKUP(BM119,Fundamentus!A:U,12,FALSE)&lt;6,"Muita barata",IF(VLOOKUP(BM119,Fundamentus!A:U,12,FALSE)&lt;6,"Barata",IF(VLOOKUP(BM119,Fundamentus!A:U,12,FALSE)&lt;8,"Atrativa",IF(VLOOKUP(BM119,Fundamentus!A:U,12,FALSE)&gt;8,"Supervalorizada","n/a")))))</f>
        <v>Muita barata</v>
      </c>
      <c r="ER119" s="17" t="str">
        <f>IF(VLOOKUP(BM119,Fundamentus!A:U,17,FALSE)&lt;0.1,"Fraco retorno",IF(VLOOKUP(BM119,Fundamentus!A:U,17,FALSE)&gt;0.1,"Bom retorno","n/a"))</f>
        <v>Bom retorno</v>
      </c>
      <c r="ES119" s="17" t="str">
        <f>IF(VLOOKUP(BM119,Fundamentus!A:U,16,FALSE)&lt;0.1,"Ineficiente",IF(VLOOKUP(BM119,Fundamentus!A:U,16,FALSE)&gt;0.1,"Eficiente","n/a"))</f>
        <v>Eficiente</v>
      </c>
      <c r="ET119" s="33" t="str">
        <f>IF(VLOOKUP(BM119,Fundamentus!A:U,16,FALSE)&lt;0.1,"Oper. Ineficiente",IF(VLOOKUP(BM119,Fundamentus!A:U,16,FALSE)&gt;0.1,"Oper.Eficiente","n/a"))</f>
        <v>Oper.Eficiente</v>
      </c>
      <c r="EU119" s="34">
        <f>VLOOKUP(BM119,Fundamentus!A:U,14,FALSE)</f>
        <v>1.78E-2</v>
      </c>
      <c r="EV119" s="17" t="str">
        <f>IF(VLOOKUP(BM119,Fundamentus!A:U,21,FALSE)&lt;0,"Negativo",IF(VLOOKUP(BM119,Fundamentus!A:U,21,FALSE)&lt;0.05,"Fraco",IF(VLOOKUP(BM119,Fundamentus!A:U,21,FALSE)&lt;0.1,"Bom",IF(VLOOKUP(BM119,Fundamentus!A:U,21,FALSE)&gt;0.1,"Muito bom","n/a"))))</f>
        <v>Muito bom</v>
      </c>
      <c r="EX119" s="29" t="str">
        <f>IF(VLOOKUP(BM119,Fundamentus!A:U,15,FALSE)&gt;1,"Bom",IF(VLOOKUP(BM119,Fundamentus!A:U,15,FALSE)&lt;1,"Ruim","n/a"))</f>
        <v>Bom</v>
      </c>
      <c r="EY119" s="17" t="str">
        <f>IF(VLOOKUP(BM119,Fundamentus!A:U,20,FALSE)&lt;0.5,"Baixa",IF(VLOOKUP(BM119,Fundamentus!A:U,20,FALSE)&lt;1,"Moderada",IF(VLOOKUP(BM119,Fundamentus!A:U,20,FALSE)&lt;2,"Alerta",IF(VLOOKUP(BM119,Fundamentus!A:U,20,FALSE)&gt;2,"Alta","n/a"))))</f>
        <v>Moderada</v>
      </c>
      <c r="EZ119" s="10"/>
    </row>
    <row r="120" spans="1:156" s="2" customFormat="1" ht="11.25" x14ac:dyDescent="0.2">
      <c r="A120" s="4">
        <v>7.83</v>
      </c>
      <c r="B120" s="4">
        <v>7.67</v>
      </c>
      <c r="C120" s="4">
        <v>7.7</v>
      </c>
      <c r="D120" s="4">
        <v>7.54</v>
      </c>
      <c r="E120" s="4">
        <v>7.21</v>
      </c>
      <c r="F120" s="4">
        <v>7.01</v>
      </c>
      <c r="G120" s="4">
        <v>6.7</v>
      </c>
      <c r="H120" s="4">
        <v>6.6</v>
      </c>
      <c r="I120" s="4">
        <v>6.59</v>
      </c>
      <c r="J120" s="4">
        <v>6.85</v>
      </c>
      <c r="K120" s="4">
        <v>7.18</v>
      </c>
      <c r="L120" s="4">
        <v>7.08</v>
      </c>
      <c r="M120" s="4">
        <v>7.19</v>
      </c>
      <c r="N120" s="4">
        <v>7.16</v>
      </c>
      <c r="O120" s="4">
        <v>8.0500000000000007</v>
      </c>
      <c r="P120" s="4">
        <v>7.69</v>
      </c>
      <c r="Q120" s="4">
        <v>8.41</v>
      </c>
      <c r="R120" s="4">
        <v>8.2100000000000009</v>
      </c>
      <c r="S120" s="4">
        <v>7.84</v>
      </c>
      <c r="T120" s="4">
        <v>8.09</v>
      </c>
      <c r="U120" s="4">
        <v>7.89</v>
      </c>
      <c r="V120" s="4">
        <v>8.25</v>
      </c>
      <c r="W120" s="4">
        <v>8.65</v>
      </c>
      <c r="X120" s="4">
        <v>8.0299999999999994</v>
      </c>
      <c r="Y120" s="4">
        <v>8.0399999999999991</v>
      </c>
      <c r="Z120" s="4">
        <v>8.4499999999999993</v>
      </c>
      <c r="AA120" s="4">
        <v>8.06</v>
      </c>
      <c r="AB120" s="4">
        <v>7.94</v>
      </c>
      <c r="AC120" s="4">
        <v>7.66</v>
      </c>
      <c r="AD120" s="4">
        <v>7.56</v>
      </c>
      <c r="AE120" s="4">
        <v>7.25</v>
      </c>
      <c r="AF120" s="4">
        <v>7</v>
      </c>
      <c r="AG120" s="4">
        <v>6.49</v>
      </c>
      <c r="AH120" s="4">
        <v>6.11</v>
      </c>
      <c r="AI120" s="4">
        <v>6.07</v>
      </c>
      <c r="AJ120" s="4">
        <v>5.78</v>
      </c>
      <c r="AK120" s="4">
        <v>5.91</v>
      </c>
      <c r="AL120" s="4">
        <v>5.9</v>
      </c>
      <c r="AM120" s="4">
        <v>5.92</v>
      </c>
      <c r="AN120" s="4">
        <v>5.9</v>
      </c>
      <c r="AO120" s="4">
        <v>6.05</v>
      </c>
      <c r="AP120" s="4">
        <v>6.31</v>
      </c>
      <c r="AQ120" s="4">
        <v>6.21</v>
      </c>
      <c r="AR120" s="4">
        <v>5.65</v>
      </c>
      <c r="AS120" s="4">
        <v>5.79</v>
      </c>
      <c r="AT120" s="4">
        <v>5.59</v>
      </c>
      <c r="AU120" s="4">
        <v>5.6550000000000002</v>
      </c>
      <c r="AV120" s="4">
        <v>5.51</v>
      </c>
      <c r="AW120" s="4">
        <v>5.38</v>
      </c>
      <c r="AX120" s="4">
        <v>5.2</v>
      </c>
      <c r="AY120" s="12">
        <v>5.16</v>
      </c>
      <c r="AZ120" s="12">
        <v>5.47</v>
      </c>
      <c r="BA120" s="12">
        <v>5.53</v>
      </c>
      <c r="BB120" s="15">
        <v>5.22</v>
      </c>
      <c r="BC120" s="52">
        <v>5.34</v>
      </c>
      <c r="BD120" s="52">
        <v>5.45</v>
      </c>
      <c r="BE120" s="52">
        <v>5.55</v>
      </c>
      <c r="BF120" s="52">
        <v>5.68</v>
      </c>
      <c r="BG120" s="67">
        <v>5.55</v>
      </c>
      <c r="BH120" s="52">
        <v>5.68</v>
      </c>
      <c r="BI120" s="52">
        <v>5.68</v>
      </c>
      <c r="BJ120" s="52">
        <v>5.72</v>
      </c>
      <c r="BK120" s="52">
        <v>5.35</v>
      </c>
      <c r="BL120" s="52" cm="1">
        <f t="array" aca="1" ref="BL120" ca="1">_FV(EC120,"Preço")</f>
        <v>5.35</v>
      </c>
      <c r="BM120" s="69" t="s">
        <v>149</v>
      </c>
      <c r="BN120" s="36" cm="1">
        <f t="array" aca="1" ref="BN120" ca="1">_FV(EC120,"Média de volume",TRUE)</f>
        <v>1896190</v>
      </c>
      <c r="BO120" s="36">
        <v>2884700</v>
      </c>
      <c r="BP120" s="36" cm="1">
        <f t="array" aca="1" ref="BP120" ca="1">_FV(EC120,"Volume")</f>
        <v>2884700</v>
      </c>
      <c r="BQ120" s="24" cm="1">
        <f t="array" aca="1" ref="BQ120" ca="1">_FV(EC120,"Beta")</f>
        <v>0.749</v>
      </c>
      <c r="BR120" s="71" cm="1">
        <f t="array" aca="1" ref="BR120" ca="1">_FV(EC120,"Variação (%)",TRUE)</f>
        <v>-9.2589999999999999E-3</v>
      </c>
      <c r="BT120" s="17" cm="1">
        <f t="array" aca="1" ref="BT120" ca="1">_FV(EC120,"Baixo")</f>
        <v>5.34</v>
      </c>
      <c r="BU120" s="17" cm="1">
        <f t="array" aca="1" ref="BU120" ca="1">_FV(EC120,"Alto")</f>
        <v>5.46</v>
      </c>
      <c r="BV120" s="24"/>
      <c r="BW120" s="63">
        <f ca="1">SQRT(22.5*(BL120/VLOOKUP(BM120,Fundamentus!A:U,3,FALSE))*(BL120/VLOOKUP(BM120,Fundamentus!A:U,4,FALSE)))</f>
        <v>7.4332326131523239</v>
      </c>
      <c r="BY120" s="62">
        <f t="shared" ca="1" si="112"/>
        <v>0</v>
      </c>
      <c r="BZ120" s="8"/>
      <c r="CA120" s="61">
        <f t="shared" si="113"/>
        <v>5.16</v>
      </c>
      <c r="CB120" s="61">
        <f t="shared" si="114"/>
        <v>8.65</v>
      </c>
      <c r="CC120" s="61">
        <f t="shared" si="115"/>
        <v>6.669603174603175</v>
      </c>
      <c r="CD120" s="14"/>
      <c r="CE120" s="35">
        <f t="shared" si="98"/>
        <v>5.3043961398308674</v>
      </c>
      <c r="CF120" s="15">
        <f t="shared" si="116"/>
        <v>5.5599999999999454</v>
      </c>
      <c r="CG120" s="35">
        <f t="shared" si="99"/>
        <v>5.8156038601690234</v>
      </c>
      <c r="CI120" s="14"/>
      <c r="CJ120" s="17">
        <f t="shared" si="100"/>
        <v>0.88000000000000078</v>
      </c>
      <c r="CK120" s="17">
        <f t="shared" si="101"/>
        <v>3.0200000000000005</v>
      </c>
      <c r="CL120" s="17">
        <f t="shared" si="102"/>
        <v>4.370000000000001</v>
      </c>
      <c r="CM120" s="38">
        <f t="shared" si="117"/>
        <v>6.5100000000000007</v>
      </c>
      <c r="CN120" s="17">
        <f t="shared" si="103"/>
        <v>7.8600000000000012</v>
      </c>
      <c r="CO120" s="17">
        <f t="shared" si="104"/>
        <v>10</v>
      </c>
      <c r="CP120" s="17">
        <f t="shared" si="105"/>
        <v>11.350000000000001</v>
      </c>
      <c r="CQ120" s="2" cm="1">
        <f t="array" aca="1" ref="CQ120" ca="1">MAX(_xlfn._xlws.FILTER(CJ120:CP120,CJ120:CP120&lt;BL120))</f>
        <v>4.370000000000001</v>
      </c>
      <c r="CR120" s="2" cm="1">
        <f t="array" aca="1" ref="CR120" ca="1">MIN(_xlfn._xlws.FILTER($CJ120:$CP120,$CJ120:$CP120&gt;BL120))</f>
        <v>6.5100000000000007</v>
      </c>
      <c r="CS120" s="16">
        <f t="shared" ca="1" si="136"/>
        <v>0.48970251716247115</v>
      </c>
      <c r="CT120" s="20">
        <f t="shared" ca="1" si="137"/>
        <v>-0.24485125858123558</v>
      </c>
      <c r="CU120" s="20">
        <f t="shared" ca="1" si="138"/>
        <v>-0.16323417238749038</v>
      </c>
      <c r="CV120" s="20">
        <f t="shared" ca="1" si="139"/>
        <v>-9.7940503432494233E-2</v>
      </c>
      <c r="CW120" s="20">
        <f t="shared" ca="1" si="140"/>
        <v>-5.4411390795830128E-2</v>
      </c>
      <c r="CX120" s="20">
        <f t="shared" ca="1" si="141"/>
        <v>-2.8806030421321831E-2</v>
      </c>
      <c r="CY120" s="20">
        <f t="shared" ca="1" si="142"/>
        <v>-1.4839470217044581E-2</v>
      </c>
      <c r="CZ120" s="20">
        <f t="shared" ca="1" si="143"/>
        <v>-7.533884879422633E-3</v>
      </c>
      <c r="DA120" s="21">
        <f t="shared" ca="1" si="144"/>
        <v>7.533884879422633E-3</v>
      </c>
      <c r="DB120" s="21">
        <f t="shared" ca="1" si="145"/>
        <v>1.4839470217044581E-2</v>
      </c>
      <c r="DC120" s="21">
        <f t="shared" ca="1" si="146"/>
        <v>2.8806030421321831E-2</v>
      </c>
      <c r="DD120" s="21">
        <f t="shared" ca="1" si="147"/>
        <v>5.4411390795830128E-2</v>
      </c>
      <c r="DE120" s="21">
        <f t="shared" ca="1" si="148"/>
        <v>9.7940503432494233E-2</v>
      </c>
      <c r="DF120" s="21">
        <f t="shared" ca="1" si="149"/>
        <v>0.16323417238749038</v>
      </c>
      <c r="DG120" s="21">
        <f t="shared" ca="1" si="150"/>
        <v>0.24485125858123558</v>
      </c>
      <c r="DI120" s="16" cm="1">
        <f t="array" aca="1" ref="DI120" ca="1">MAX(_xlfn._xlws.FILTER(CT120:DG120,CT120:DG120&lt;BR120))</f>
        <v>-1.4839470217044581E-2</v>
      </c>
      <c r="DJ120" s="16" cm="1">
        <f t="array" aca="1" ref="DJ120" ca="1">MIN(_xlfn._xlws.FILTER(CT120:DG120,CT120:DG120&gt;BR120))</f>
        <v>-7.533884879422633E-3</v>
      </c>
      <c r="DK120" s="2" cm="1">
        <f t="array" aca="1" ref="DK120" ca="1">_FV(EC120,"Fechamento anterior",TRUE)</f>
        <v>5.4</v>
      </c>
      <c r="DL120" s="28">
        <f t="shared" ca="1" si="106"/>
        <v>0.76382804387329595</v>
      </c>
      <c r="DM120" s="15">
        <f t="shared" ca="1" si="151"/>
        <v>5.3198668608279593</v>
      </c>
      <c r="DN120" s="15">
        <f t="shared" ca="1" si="152"/>
        <v>5.3593170216511181</v>
      </c>
      <c r="DO120" s="9"/>
      <c r="DP120" s="9"/>
      <c r="DQ120" s="9"/>
      <c r="DR120" s="89">
        <v>2.883540763365925E-2</v>
      </c>
      <c r="DS120" s="89">
        <v>1.5878561532437815E-2</v>
      </c>
      <c r="DT120" s="89">
        <v>1.5067769758845266E-2</v>
      </c>
      <c r="DU120" s="89">
        <v>7.3055853376219476E-3</v>
      </c>
      <c r="DV120" s="89">
        <f t="shared" ca="1" si="107"/>
        <v>7.3055853376219476E-3</v>
      </c>
      <c r="DW120" s="72">
        <f t="shared" ca="1" si="108"/>
        <v>-0.8215838362575355</v>
      </c>
      <c r="DX120" s="37"/>
      <c r="DY120" s="35">
        <f t="shared" si="118"/>
        <v>0.12780193008453877</v>
      </c>
      <c r="DZ120" s="56"/>
      <c r="EA120" s="56"/>
      <c r="EC120" s="2" t="e" vm="119">
        <v>#VALUE!</v>
      </c>
      <c r="EE120" s="10" cm="1">
        <f t="array" aca="1" ref="EE120" ca="1">_FV(EC120,"Ações em circulação",TRUE)</f>
        <v>820566200</v>
      </c>
      <c r="EF120" s="18">
        <f>VLOOKUP(BM120,Fundamentus!A:U,5,FALSE)</f>
        <v>0.55500000000000005</v>
      </c>
      <c r="EG120" s="2">
        <f t="shared" ca="1" si="109"/>
        <v>7909962468.4684677</v>
      </c>
      <c r="EH120" s="17">
        <v>258655772.71891889</v>
      </c>
      <c r="EI120" s="17">
        <f t="shared" ca="1" si="110"/>
        <v>258655772.71891889</v>
      </c>
      <c r="EK120" s="16">
        <f t="shared" ca="1" si="97"/>
        <v>0</v>
      </c>
      <c r="EL120" s="32" t="str">
        <f>IF(VLOOKUP(BM120,Fundamentus!A:U,3,FALSE)&lt;15,"Bom",IF(VLOOKUP(BM120,Fundamentus!A:U,3,FALSE)&gt;15,"Ruim","n/a"))</f>
        <v>Ruim</v>
      </c>
      <c r="EM120" s="28" t="str">
        <f>IF(VLOOKUP(BM120,Fundamentus!A:U,4,FALSE)&lt;1,"Baixo",IF(VLOOKUP(BM120,Fundamentus!A:U,4,FALSE)&lt;1.5,"Moderado",IF(VLOOKUP(BM120,Fundamentus!A:U,4,FALSE)&gt;1.5,"Alto","n/a")))</f>
        <v>Baixo</v>
      </c>
      <c r="EN120" s="17" t="str">
        <f>IF(VLOOKUP(BM120,Fundamentus!A:U,8,FALSE)&lt;0,"Risco elevado",IF(VLOOKUP(BM120,Fundamentus!A:U,8,FALSE)&lt;1,"Saudável",IF(VLOOKUP(BM120,Fundamentus!A:U,8,FALSE)&lt;3,"Estável",IF(VLOOKUP(BM120,Fundamentus!A:U,8,FALSE)&gt;3,"Alerta","n/a"))))</f>
        <v>Alerta</v>
      </c>
      <c r="EO120" s="28" t="str">
        <f t="shared" si="111"/>
        <v>Ruim</v>
      </c>
      <c r="EP120" s="17" t="str">
        <f>IF(VLOOKUP(BM120,Fundamentus!A:U,12,FALSE)&lt;2,"Subvalorizada",IF(VLOOKUP(BM120,Fundamentus!A:U,12,FALSE)&lt;6,"Muita barata",IF(VLOOKUP(BM120,Fundamentus!A:U,12,FALSE)&lt;6,"Barata",IF(VLOOKUP(BM120,Fundamentus!A:U,12,FALSE)&lt;8,"Atrativa",IF(VLOOKUP(BM120,Fundamentus!A:U,12,FALSE)&gt;8,"Supervalorizada","n/a")))))</f>
        <v>Muita barata</v>
      </c>
      <c r="ER120" s="17" t="str">
        <f>IF(VLOOKUP(BM120,Fundamentus!A:U,17,FALSE)&lt;0.1,"Fraco retorno",IF(VLOOKUP(BM120,Fundamentus!A:U,17,FALSE)&gt;0.1,"Bom retorno","n/a"))</f>
        <v>Fraco retorno</v>
      </c>
      <c r="ES120" s="17" t="str">
        <f>IF(VLOOKUP(BM120,Fundamentus!A:U,16,FALSE)&lt;0.1,"Ineficiente",IF(VLOOKUP(BM120,Fundamentus!A:U,16,FALSE)&gt;0.1,"Eficiente","n/a"))</f>
        <v>Ineficiente</v>
      </c>
      <c r="ET120" s="33" t="str">
        <f>IF(VLOOKUP(BM120,Fundamentus!A:U,16,FALSE)&lt;0.1,"Oper. Ineficiente",IF(VLOOKUP(BM120,Fundamentus!A:U,16,FALSE)&gt;0.1,"Oper.Eficiente","n/a"))</f>
        <v>Oper. Ineficiente</v>
      </c>
      <c r="EU120" s="34">
        <f>VLOOKUP(BM120,Fundamentus!A:U,14,FALSE)</f>
        <v>3.27E-2</v>
      </c>
      <c r="EV120" s="17" t="str">
        <f>IF(VLOOKUP(BM120,Fundamentus!A:U,21,FALSE)&lt;0,"Negativo",IF(VLOOKUP(BM120,Fundamentus!A:U,21,FALSE)&lt;0.05,"Fraco",IF(VLOOKUP(BM120,Fundamentus!A:U,21,FALSE)&lt;0.1,"Bom",IF(VLOOKUP(BM120,Fundamentus!A:U,21,FALSE)&gt;0.1,"Muito bom","n/a"))))</f>
        <v>Fraco</v>
      </c>
      <c r="EX120" s="29" t="str">
        <f>IF(VLOOKUP(BM120,Fundamentus!A:U,15,FALSE)&gt;1,"Bom",IF(VLOOKUP(BM120,Fundamentus!A:U,15,FALSE)&lt;1,"Ruim","n/a"))</f>
        <v>Bom</v>
      </c>
      <c r="EY120" s="17" t="str">
        <f>IF(VLOOKUP(BM120,Fundamentus!A:U,20,FALSE)&lt;0.5,"Baixa",IF(VLOOKUP(BM120,Fundamentus!A:U,20,FALSE)&lt;1,"Moderada",IF(VLOOKUP(BM120,Fundamentus!A:U,20,FALSE)&lt;2,"Alerta",IF(VLOOKUP(BM120,Fundamentus!A:U,20,FALSE)&gt;2,"Alta","n/a"))))</f>
        <v>Moderada</v>
      </c>
      <c r="EZ120" s="10"/>
    </row>
    <row r="121" spans="1:156" s="2" customFormat="1" ht="11.25" x14ac:dyDescent="0.2">
      <c r="A121" s="4">
        <v>13.62</v>
      </c>
      <c r="B121" s="4">
        <v>12.6</v>
      </c>
      <c r="C121" s="4">
        <v>12.37</v>
      </c>
      <c r="D121" s="4">
        <v>11.68</v>
      </c>
      <c r="E121" s="4">
        <v>11.3</v>
      </c>
      <c r="F121" s="4">
        <v>11.31</v>
      </c>
      <c r="G121" s="4">
        <v>11.34</v>
      </c>
      <c r="H121" s="4">
        <v>10.62</v>
      </c>
      <c r="I121" s="4">
        <v>10.75</v>
      </c>
      <c r="J121" s="4">
        <v>12.11</v>
      </c>
      <c r="K121" s="4">
        <v>12.74</v>
      </c>
      <c r="L121" s="4">
        <v>12.39</v>
      </c>
      <c r="M121" s="4">
        <v>12.85</v>
      </c>
      <c r="N121" s="4">
        <v>13.22</v>
      </c>
      <c r="O121" s="4">
        <v>13.19</v>
      </c>
      <c r="P121" s="4">
        <v>13.34</v>
      </c>
      <c r="Q121" s="4">
        <v>14.02</v>
      </c>
      <c r="R121" s="4">
        <v>13.4</v>
      </c>
      <c r="S121" s="4">
        <v>13.19</v>
      </c>
      <c r="T121" s="4">
        <v>13.58</v>
      </c>
      <c r="U121" s="4">
        <v>13.3</v>
      </c>
      <c r="V121" s="4">
        <v>12.4</v>
      </c>
      <c r="W121" s="4">
        <v>13.34</v>
      </c>
      <c r="X121" s="4">
        <v>13.41</v>
      </c>
      <c r="Y121" s="4">
        <v>14.17</v>
      </c>
      <c r="Z121" s="4">
        <v>14.51</v>
      </c>
      <c r="AA121" s="4">
        <v>14.87</v>
      </c>
      <c r="AB121" s="4">
        <v>16.309999999999999</v>
      </c>
      <c r="AC121" s="4">
        <v>16.27</v>
      </c>
      <c r="AD121" s="4">
        <v>16.41</v>
      </c>
      <c r="AE121" s="4">
        <v>14.01</v>
      </c>
      <c r="AF121" s="4">
        <v>13.23</v>
      </c>
      <c r="AG121" s="4">
        <v>12.48</v>
      </c>
      <c r="AH121" s="4">
        <v>12.59</v>
      </c>
      <c r="AI121" s="4">
        <v>12.3</v>
      </c>
      <c r="AJ121" s="4">
        <v>12.43</v>
      </c>
      <c r="AK121" s="4">
        <v>12.06</v>
      </c>
      <c r="AL121" s="4">
        <v>11.94</v>
      </c>
      <c r="AM121" s="4">
        <v>12.48</v>
      </c>
      <c r="AN121" s="4">
        <v>14.37</v>
      </c>
      <c r="AO121" s="4">
        <v>14.66</v>
      </c>
      <c r="AP121" s="4">
        <v>16.09</v>
      </c>
      <c r="AQ121" s="4">
        <v>16.98</v>
      </c>
      <c r="AR121" s="4">
        <v>14.73</v>
      </c>
      <c r="AS121" s="4">
        <v>14.78</v>
      </c>
      <c r="AT121" s="4">
        <v>13.59</v>
      </c>
      <c r="AU121" s="4">
        <v>14.17</v>
      </c>
      <c r="AV121" s="4">
        <v>14.36</v>
      </c>
      <c r="AW121" s="4">
        <v>13.67</v>
      </c>
      <c r="AX121" s="4">
        <v>14.5</v>
      </c>
      <c r="AY121" s="12">
        <v>15.95</v>
      </c>
      <c r="AZ121" s="12">
        <v>16.2</v>
      </c>
      <c r="BA121" s="12">
        <v>16.149999999999999</v>
      </c>
      <c r="BB121" s="15">
        <v>17.16</v>
      </c>
      <c r="BC121" s="52">
        <v>20.67</v>
      </c>
      <c r="BD121" s="52">
        <v>22.58</v>
      </c>
      <c r="BE121" s="52">
        <v>23.09</v>
      </c>
      <c r="BF121" s="52">
        <v>24.62</v>
      </c>
      <c r="BG121" s="67">
        <v>23.1</v>
      </c>
      <c r="BH121" s="52">
        <v>23.68</v>
      </c>
      <c r="BI121" s="52">
        <v>24.45</v>
      </c>
      <c r="BJ121" s="52">
        <v>24.28</v>
      </c>
      <c r="BK121" s="52">
        <v>22.85</v>
      </c>
      <c r="BL121" s="52" cm="1">
        <f t="array" aca="1" ref="BL121" ca="1">_FV(EC121,"Preço")</f>
        <v>22.85</v>
      </c>
      <c r="BM121" s="69" t="s">
        <v>64</v>
      </c>
      <c r="BN121" s="36" cm="1">
        <f t="array" aca="1" ref="BN121" ca="1">_FV(EC121,"Média de volume",TRUE)</f>
        <v>1313570</v>
      </c>
      <c r="BO121" s="36">
        <v>880000</v>
      </c>
      <c r="BP121" s="36" cm="1">
        <f t="array" aca="1" ref="BP121" ca="1">_FV(EC121,"Volume")</f>
        <v>880000</v>
      </c>
      <c r="BQ121" s="24" cm="1">
        <f t="array" aca="1" ref="BQ121" ca="1">_FV(EC121,"Beta")</f>
        <v>1.4892000000000001</v>
      </c>
      <c r="BR121" s="71" cm="1">
        <f t="array" aca="1" ref="BR121" ca="1">_FV(EC121,"Variação (%)",TRUE)</f>
        <v>-2.3504000000000001E-2</v>
      </c>
      <c r="BT121" s="17" cm="1">
        <f t="array" aca="1" ref="BT121" ca="1">_FV(EC121,"Baixo")</f>
        <v>22.85</v>
      </c>
      <c r="BU121" s="17" cm="1">
        <f t="array" aca="1" ref="BU121" ca="1">_FV(EC121,"Alto")</f>
        <v>23.6</v>
      </c>
      <c r="BV121" s="24"/>
      <c r="BW121" s="63">
        <f ca="1">SQRT(22.5*(BL121/VLOOKUP(BM121,Fundamentus!A:U,3,FALSE))*(BL121/VLOOKUP(BM121,Fundamentus!A:U,4,FALSE)))</f>
        <v>17.265085609158543</v>
      </c>
      <c r="BY121" s="62">
        <f t="shared" ca="1" si="112"/>
        <v>0</v>
      </c>
      <c r="BZ121" s="8"/>
      <c r="CA121" s="61">
        <f t="shared" si="113"/>
        <v>10.62</v>
      </c>
      <c r="CB121" s="61">
        <f t="shared" si="114"/>
        <v>24.62</v>
      </c>
      <c r="CC121" s="61">
        <f t="shared" si="115"/>
        <v>14.996984126984128</v>
      </c>
      <c r="CD121" s="14"/>
      <c r="CE121" s="35">
        <f t="shared" si="98"/>
        <v>22.333717141447455</v>
      </c>
      <c r="CF121" s="15">
        <f t="shared" si="116"/>
        <v>23.682000000000016</v>
      </c>
      <c r="CG121" s="35">
        <f t="shared" si="99"/>
        <v>25.030282858552578</v>
      </c>
      <c r="CI121" s="14"/>
      <c r="CJ121" s="17">
        <f t="shared" si="100"/>
        <v>1.0599999999999969</v>
      </c>
      <c r="CK121" s="17">
        <f t="shared" si="101"/>
        <v>5.8399999999999981</v>
      </c>
      <c r="CL121" s="17">
        <f t="shared" si="102"/>
        <v>15.059999999999999</v>
      </c>
      <c r="CM121" s="38">
        <f t="shared" si="117"/>
        <v>19.84</v>
      </c>
      <c r="CN121" s="17">
        <f t="shared" si="103"/>
        <v>29.060000000000002</v>
      </c>
      <c r="CO121" s="17">
        <f t="shared" si="104"/>
        <v>33.840000000000003</v>
      </c>
      <c r="CP121" s="17">
        <f t="shared" si="105"/>
        <v>43.06</v>
      </c>
      <c r="CQ121" s="2" cm="1">
        <f t="array" aca="1" ref="CQ121" ca="1">MAX(_xlfn._xlws.FILTER(CJ121:CP121,CJ121:CP121&lt;BL121))</f>
        <v>19.84</v>
      </c>
      <c r="CR121" s="2" cm="1">
        <f t="array" aca="1" ref="CR121" ca="1">MIN(_xlfn._xlws.FILTER($CJ121:$CP121,$CJ121:$CP121&gt;BL121))</f>
        <v>29.060000000000002</v>
      </c>
      <c r="CS121" s="16">
        <f t="shared" ca="1" si="136"/>
        <v>0.46471774193548399</v>
      </c>
      <c r="CT121" s="20">
        <f t="shared" ca="1" si="137"/>
        <v>-0.23235887096774199</v>
      </c>
      <c r="CU121" s="20">
        <f t="shared" ca="1" si="138"/>
        <v>-0.15490591397849465</v>
      </c>
      <c r="CV121" s="20">
        <f t="shared" ca="1" si="139"/>
        <v>-9.29435483870968E-2</v>
      </c>
      <c r="CW121" s="20">
        <f t="shared" ca="1" si="140"/>
        <v>-5.163530465949822E-2</v>
      </c>
      <c r="CX121" s="20">
        <f t="shared" ca="1" si="141"/>
        <v>-2.7336337760910823E-2</v>
      </c>
      <c r="CY121" s="20">
        <f t="shared" ca="1" si="142"/>
        <v>-1.4082355816226787E-2</v>
      </c>
      <c r="CZ121" s="20">
        <f t="shared" ca="1" si="143"/>
        <v>-7.1495037220843686E-3</v>
      </c>
      <c r="DA121" s="21">
        <f t="shared" ca="1" si="144"/>
        <v>7.1495037220843686E-3</v>
      </c>
      <c r="DB121" s="21">
        <f t="shared" ca="1" si="145"/>
        <v>1.4082355816226787E-2</v>
      </c>
      <c r="DC121" s="21">
        <f t="shared" ca="1" si="146"/>
        <v>2.7336337760910823E-2</v>
      </c>
      <c r="DD121" s="21">
        <f t="shared" ca="1" si="147"/>
        <v>5.163530465949822E-2</v>
      </c>
      <c r="DE121" s="21">
        <f t="shared" ca="1" si="148"/>
        <v>9.29435483870968E-2</v>
      </c>
      <c r="DF121" s="21">
        <f t="shared" ca="1" si="149"/>
        <v>0.15490591397849465</v>
      </c>
      <c r="DG121" s="21">
        <f t="shared" ca="1" si="150"/>
        <v>0.23235887096774199</v>
      </c>
      <c r="DI121" s="16" cm="1">
        <f t="array" aca="1" ref="DI121" ca="1">MAX(_xlfn._xlws.FILTER(CT121:DG121,CT121:DG121&lt;BR121))</f>
        <v>-2.7336337760910823E-2</v>
      </c>
      <c r="DJ121" s="16" cm="1">
        <f t="array" aca="1" ref="DJ121" ca="1">MIN(_xlfn._xlws.FILTER(CT121:DG121,CT121:DG121&gt;BR121))</f>
        <v>-1.4082355816226787E-2</v>
      </c>
      <c r="DK121" s="2" cm="1">
        <f t="array" aca="1" ref="DK121" ca="1">_FV(EC121,"Fechamento anterior",TRUE)</f>
        <v>23.4</v>
      </c>
      <c r="DL121" s="28">
        <f t="shared" ca="1" si="106"/>
        <v>0.2891255075365804</v>
      </c>
      <c r="DM121" s="15">
        <f t="shared" ca="1" si="151"/>
        <v>22.760329696394685</v>
      </c>
      <c r="DN121" s="15">
        <f t="shared" ca="1" si="152"/>
        <v>23.070472873900293</v>
      </c>
      <c r="DO121" s="9"/>
      <c r="DP121" s="9"/>
      <c r="DQ121" s="9"/>
      <c r="DR121" s="89">
        <v>1.1679786960685843E-2</v>
      </c>
      <c r="DS121" s="89">
        <v>1.2945197401427624E-2</v>
      </c>
      <c r="DT121" s="89">
        <v>6.9328520941424185E-3</v>
      </c>
      <c r="DU121" s="89">
        <v>1.3253981944684036E-2</v>
      </c>
      <c r="DV121" s="89">
        <f t="shared" ca="1" si="107"/>
        <v>1.3253981944684036E-2</v>
      </c>
      <c r="DW121" s="72">
        <f t="shared" ca="1" si="108"/>
        <v>-0.6170811968144444</v>
      </c>
      <c r="DX121" s="37"/>
      <c r="DY121" s="35">
        <f t="shared" si="118"/>
        <v>0.6741414292762804</v>
      </c>
      <c r="DZ121" s="56"/>
      <c r="EA121" s="56"/>
      <c r="EC121" s="2" t="e" vm="120">
        <v>#VALUE!</v>
      </c>
      <c r="EE121" s="10" cm="1">
        <f t="array" aca="1" ref="EE121" ca="1">_FV(EC121,"Ações em circulação",TRUE)</f>
        <v>122578100</v>
      </c>
      <c r="EF121" s="18">
        <f>VLOOKUP(BM121,Fundamentus!A:U,5,FALSE)</f>
        <v>0.83199999999999996</v>
      </c>
      <c r="EG121" s="2">
        <f t="shared" ca="1" si="109"/>
        <v>3366477866.5865388</v>
      </c>
      <c r="EH121" s="17">
        <v>171017075.62259617</v>
      </c>
      <c r="EI121" s="17">
        <f t="shared" ca="1" si="110"/>
        <v>171017075.62259617</v>
      </c>
      <c r="EK121" s="16">
        <f t="shared" ca="1" si="97"/>
        <v>0</v>
      </c>
      <c r="EL121" s="32" t="str">
        <f>IF(VLOOKUP(BM121,Fundamentus!A:U,3,FALSE)&lt;15,"Bom",IF(VLOOKUP(BM121,Fundamentus!A:U,3,FALSE)&gt;15,"Ruim","n/a"))</f>
        <v>Ruim</v>
      </c>
      <c r="EM121" s="28" t="str">
        <f>IF(VLOOKUP(BM121,Fundamentus!A:U,4,FALSE)&lt;1,"Baixo",IF(VLOOKUP(BM121,Fundamentus!A:U,4,FALSE)&lt;1.5,"Moderado",IF(VLOOKUP(BM121,Fundamentus!A:U,4,FALSE)&gt;1.5,"Alto","n/a")))</f>
        <v>Alto</v>
      </c>
      <c r="EN121" s="17" t="str">
        <f>IF(VLOOKUP(BM121,Fundamentus!A:U,8,FALSE)&lt;0,"Risco elevado",IF(VLOOKUP(BM121,Fundamentus!A:U,8,FALSE)&lt;1,"Saudável",IF(VLOOKUP(BM121,Fundamentus!A:U,8,FALSE)&lt;3,"Estável",IF(VLOOKUP(BM121,Fundamentus!A:U,8,FALSE)&gt;3,"Alerta","n/a"))))</f>
        <v>Estável</v>
      </c>
      <c r="EO121" s="28" t="str">
        <f t="shared" si="111"/>
        <v>Ruim</v>
      </c>
      <c r="EP121" s="17" t="str">
        <f>IF(VLOOKUP(BM121,Fundamentus!A:U,12,FALSE)&lt;2,"Subvalorizada",IF(VLOOKUP(BM121,Fundamentus!A:U,12,FALSE)&lt;6,"Muita barata",IF(VLOOKUP(BM121,Fundamentus!A:U,12,FALSE)&lt;6,"Barata",IF(VLOOKUP(BM121,Fundamentus!A:U,12,FALSE)&lt;8,"Atrativa",IF(VLOOKUP(BM121,Fundamentus!A:U,12,FALSE)&gt;8,"Supervalorizada","n/a")))))</f>
        <v>Atrativa</v>
      </c>
      <c r="ER121" s="17" t="str">
        <f>IF(VLOOKUP(BM121,Fundamentus!A:U,17,FALSE)&lt;0.1,"Fraco retorno",IF(VLOOKUP(BM121,Fundamentus!A:U,17,FALSE)&gt;0.1,"Bom retorno","n/a"))</f>
        <v>Bom retorno</v>
      </c>
      <c r="ES121" s="17" t="str">
        <f>IF(VLOOKUP(BM121,Fundamentus!A:U,16,FALSE)&lt;0.1,"Ineficiente",IF(VLOOKUP(BM121,Fundamentus!A:U,16,FALSE)&gt;0.1,"Eficiente","n/a"))</f>
        <v>Eficiente</v>
      </c>
      <c r="ET121" s="33" t="str">
        <f>IF(VLOOKUP(BM121,Fundamentus!A:U,16,FALSE)&lt;0.1,"Oper. Ineficiente",IF(VLOOKUP(BM121,Fundamentus!A:U,16,FALSE)&gt;0.1,"Oper.Eficiente","n/a"))</f>
        <v>Oper.Eficiente</v>
      </c>
      <c r="EU121" s="34">
        <f>VLOOKUP(BM121,Fundamentus!A:U,14,FALSE)</f>
        <v>5.0799999999999998E-2</v>
      </c>
      <c r="EV121" s="17" t="str">
        <f>IF(VLOOKUP(BM121,Fundamentus!A:U,21,FALSE)&lt;0,"Negativo",IF(VLOOKUP(BM121,Fundamentus!A:U,21,FALSE)&lt;0.05,"Fraco",IF(VLOOKUP(BM121,Fundamentus!A:U,21,FALSE)&lt;0.1,"Bom",IF(VLOOKUP(BM121,Fundamentus!A:U,21,FALSE)&gt;0.1,"Muito bom","n/a"))))</f>
        <v>Bom</v>
      </c>
      <c r="EX121" s="29" t="str">
        <f>IF(VLOOKUP(BM121,Fundamentus!A:U,15,FALSE)&gt;1,"Bom",IF(VLOOKUP(BM121,Fundamentus!A:U,15,FALSE)&lt;1,"Ruim","n/a"))</f>
        <v>Bom</v>
      </c>
      <c r="EY121" s="17" t="str">
        <f>IF(VLOOKUP(BM121,Fundamentus!A:U,20,FALSE)&lt;0.5,"Baixa",IF(VLOOKUP(BM121,Fundamentus!A:U,20,FALSE)&lt;1,"Moderada",IF(VLOOKUP(BM121,Fundamentus!A:U,20,FALSE)&lt;2,"Alerta",IF(VLOOKUP(BM121,Fundamentus!A:U,20,FALSE)&gt;2,"Alta","n/a"))))</f>
        <v>Moderada</v>
      </c>
    </row>
    <row r="122" spans="1:156" s="2" customFormat="1" ht="11.25" x14ac:dyDescent="0.2">
      <c r="A122" s="4">
        <v>38.950000000000003</v>
      </c>
      <c r="B122" s="4">
        <v>38.11</v>
      </c>
      <c r="C122" s="4">
        <v>38.200000000000003</v>
      </c>
      <c r="D122" s="4">
        <v>36.03</v>
      </c>
      <c r="E122" s="4">
        <v>34.909999999999997</v>
      </c>
      <c r="F122" s="4">
        <v>35.729999999999997</v>
      </c>
      <c r="G122" s="4">
        <v>35.69</v>
      </c>
      <c r="H122" s="4">
        <v>34.69</v>
      </c>
      <c r="I122" s="4">
        <v>35.81</v>
      </c>
      <c r="J122" s="4">
        <v>37.94</v>
      </c>
      <c r="K122" s="4">
        <v>39.1</v>
      </c>
      <c r="L122" s="4">
        <v>37.090000000000003</v>
      </c>
      <c r="M122" s="4">
        <v>38.369999999999997</v>
      </c>
      <c r="N122" s="4">
        <v>38.35</v>
      </c>
      <c r="O122" s="4">
        <v>39.86</v>
      </c>
      <c r="P122" s="4">
        <v>40.31</v>
      </c>
      <c r="Q122" s="4">
        <v>41.88</v>
      </c>
      <c r="R122" s="4">
        <v>41.75</v>
      </c>
      <c r="S122" s="4">
        <v>41.75</v>
      </c>
      <c r="T122" s="4">
        <v>41.52</v>
      </c>
      <c r="U122" s="4">
        <v>39.93</v>
      </c>
      <c r="V122" s="4">
        <v>39.49</v>
      </c>
      <c r="W122" s="4">
        <v>38.159999999999997</v>
      </c>
      <c r="X122" s="4">
        <v>38.130000000000003</v>
      </c>
      <c r="Y122" s="4">
        <v>37.97</v>
      </c>
      <c r="Z122" s="4">
        <v>37.950000000000003</v>
      </c>
      <c r="AA122" s="4">
        <v>36.72</v>
      </c>
      <c r="AB122" s="4">
        <v>35.630000000000003</v>
      </c>
      <c r="AC122" s="4">
        <v>35.68</v>
      </c>
      <c r="AD122" s="4">
        <v>35.26</v>
      </c>
      <c r="AE122" s="4">
        <v>34.42</v>
      </c>
      <c r="AF122" s="4">
        <v>36.47</v>
      </c>
      <c r="AG122" s="4">
        <v>35.5</v>
      </c>
      <c r="AH122" s="4">
        <v>34.75</v>
      </c>
      <c r="AI122" s="4">
        <v>35</v>
      </c>
      <c r="AJ122" s="4">
        <v>33.549999999999997</v>
      </c>
      <c r="AK122" s="4">
        <v>34.15</v>
      </c>
      <c r="AL122" s="4">
        <v>34.85</v>
      </c>
      <c r="AM122" s="4">
        <v>34.97</v>
      </c>
      <c r="AN122" s="4">
        <v>36.090000000000003</v>
      </c>
      <c r="AO122" s="4">
        <v>34.75</v>
      </c>
      <c r="AP122" s="4">
        <v>37.54</v>
      </c>
      <c r="AQ122" s="4">
        <v>37.590000000000003</v>
      </c>
      <c r="AR122" s="4">
        <v>38.22</v>
      </c>
      <c r="AS122" s="4">
        <v>38.979999999999997</v>
      </c>
      <c r="AT122" s="4">
        <v>40.380000000000003</v>
      </c>
      <c r="AU122" s="4">
        <v>42.05</v>
      </c>
      <c r="AV122" s="4">
        <v>41.05</v>
      </c>
      <c r="AW122" s="4">
        <v>40.86</v>
      </c>
      <c r="AX122" s="4">
        <v>41.46</v>
      </c>
      <c r="AY122" s="12">
        <v>42.13</v>
      </c>
      <c r="AZ122" s="12">
        <v>43.43</v>
      </c>
      <c r="BA122" s="12">
        <v>43.95</v>
      </c>
      <c r="BB122" s="15">
        <v>43.42</v>
      </c>
      <c r="BC122" s="52">
        <v>41.79</v>
      </c>
      <c r="BD122" s="52">
        <v>41.7</v>
      </c>
      <c r="BE122" s="52">
        <v>41.96</v>
      </c>
      <c r="BF122" s="52">
        <v>41.31</v>
      </c>
      <c r="BG122" s="67">
        <v>41.3</v>
      </c>
      <c r="BH122" s="52">
        <v>40.049999999999997</v>
      </c>
      <c r="BI122" s="52">
        <v>39.700000000000003</v>
      </c>
      <c r="BJ122" s="52">
        <v>40.96</v>
      </c>
      <c r="BK122" s="52">
        <v>39.31</v>
      </c>
      <c r="BL122" s="52" cm="1">
        <f t="array" aca="1" ref="BL122" ca="1">_FV(EC122,"Preço")</f>
        <v>39.31</v>
      </c>
      <c r="BM122" s="69" t="s">
        <v>118</v>
      </c>
      <c r="BN122" s="36" cm="1">
        <f t="array" aca="1" ref="BN122" ca="1">_FV(EC122,"Média de volume",TRUE)</f>
        <v>902530</v>
      </c>
      <c r="BO122" s="36">
        <v>6074400</v>
      </c>
      <c r="BP122" s="36" cm="1">
        <f t="array" aca="1" ref="BP122" ca="1">_FV(EC122,"Volume")</f>
        <v>6074400</v>
      </c>
      <c r="BQ122" s="24" cm="1">
        <f t="array" aca="1" ref="BQ122" ca="1">_FV(EC122,"Beta")</f>
        <v>0.80559999999999998</v>
      </c>
      <c r="BR122" s="71" cm="1">
        <f t="array" aca="1" ref="BR122" ca="1">_FV(EC122,"Variação (%)",TRUE)</f>
        <v>-2.7900000000000004E-3</v>
      </c>
      <c r="BT122" s="17" cm="1">
        <f t="array" aca="1" ref="BT122" ca="1">_FV(EC122,"Baixo")</f>
        <v>39.01</v>
      </c>
      <c r="BU122" s="17" cm="1">
        <f t="array" aca="1" ref="BU122" ca="1">_FV(EC122,"Alto")</f>
        <v>39.76</v>
      </c>
      <c r="BV122" s="24"/>
      <c r="BW122" s="63">
        <f ca="1">SQRT(22.5*(BL122/VLOOKUP(BM122,Fundamentus!A:U,3,FALSE))*(BL122/VLOOKUP(BM122,Fundamentus!A:U,4,FALSE)))</f>
        <v>67.339555077722167</v>
      </c>
      <c r="BY122" s="62">
        <f t="shared" ca="1" si="112"/>
        <v>0</v>
      </c>
      <c r="BZ122" s="8"/>
      <c r="CA122" s="61">
        <f t="shared" si="113"/>
        <v>33.549999999999997</v>
      </c>
      <c r="CB122" s="61">
        <f t="shared" si="114"/>
        <v>43.95</v>
      </c>
      <c r="CC122" s="61">
        <f t="shared" si="115"/>
        <v>38.485714285714295</v>
      </c>
      <c r="CD122" s="14"/>
      <c r="CE122" s="35">
        <f t="shared" si="98"/>
        <v>38.377235601250753</v>
      </c>
      <c r="CF122" s="15">
        <f t="shared" si="116"/>
        <v>39.956999999999994</v>
      </c>
      <c r="CG122" s="35">
        <f t="shared" si="99"/>
        <v>41.536764398749234</v>
      </c>
      <c r="CI122" s="14"/>
      <c r="CJ122" s="17">
        <f t="shared" si="100"/>
        <v>24.623333333333335</v>
      </c>
      <c r="CK122" s="17">
        <f t="shared" si="101"/>
        <v>29.086666666666666</v>
      </c>
      <c r="CL122" s="17">
        <f t="shared" si="102"/>
        <v>35.023333333333341</v>
      </c>
      <c r="CM122" s="38">
        <f t="shared" si="117"/>
        <v>39.486666666666672</v>
      </c>
      <c r="CN122" s="17">
        <f t="shared" si="103"/>
        <v>45.423333333333346</v>
      </c>
      <c r="CO122" s="17">
        <f t="shared" si="104"/>
        <v>49.886666666666677</v>
      </c>
      <c r="CP122" s="17">
        <f t="shared" si="105"/>
        <v>55.823333333333352</v>
      </c>
      <c r="CQ122" s="2" cm="1">
        <f t="array" aca="1" ref="CQ122" ca="1">MAX(_xlfn._xlws.FILTER(CJ122:CP122,CJ122:CP122&lt;BL122))</f>
        <v>35.023333333333341</v>
      </c>
      <c r="CR122" s="2" cm="1">
        <f t="array" aca="1" ref="CR122" ca="1">MIN(_xlfn._xlws.FILTER($CJ122:$CP122,$CJ122:$CP122&gt;BL122))</f>
        <v>39.486666666666672</v>
      </c>
      <c r="CS122" s="16">
        <f t="shared" ca="1" si="136"/>
        <v>0.12743885029028257</v>
      </c>
      <c r="CT122" s="20">
        <f t="shared" ca="1" si="137"/>
        <v>-6.3719425145141284E-2</v>
      </c>
      <c r="CU122" s="20">
        <f t="shared" ca="1" si="138"/>
        <v>-4.247961676342752E-2</v>
      </c>
      <c r="CV122" s="20">
        <f t="shared" ca="1" si="139"/>
        <v>-2.5487770058056514E-2</v>
      </c>
      <c r="CW122" s="20">
        <f t="shared" ca="1" si="140"/>
        <v>-1.415987225447584E-2</v>
      </c>
      <c r="CX122" s="20">
        <f t="shared" ca="1" si="141"/>
        <v>-7.4964029582519154E-3</v>
      </c>
      <c r="CY122" s="20">
        <f t="shared" ca="1" si="142"/>
        <v>-3.8617833421297747E-3</v>
      </c>
      <c r="CZ122" s="20">
        <f t="shared" ca="1" si="143"/>
        <v>-1.9605976967735778E-3</v>
      </c>
      <c r="DA122" s="21">
        <f t="shared" ca="1" si="144"/>
        <v>1.9605976967735778E-3</v>
      </c>
      <c r="DB122" s="21">
        <f t="shared" ca="1" si="145"/>
        <v>3.8617833421297747E-3</v>
      </c>
      <c r="DC122" s="21">
        <f t="shared" ca="1" si="146"/>
        <v>7.4964029582519154E-3</v>
      </c>
      <c r="DD122" s="21">
        <f t="shared" ca="1" si="147"/>
        <v>1.415987225447584E-2</v>
      </c>
      <c r="DE122" s="21">
        <f t="shared" ca="1" si="148"/>
        <v>2.5487770058056514E-2</v>
      </c>
      <c r="DF122" s="21">
        <f t="shared" ca="1" si="149"/>
        <v>4.247961676342752E-2</v>
      </c>
      <c r="DG122" s="21">
        <f t="shared" ca="1" si="150"/>
        <v>6.3719425145141284E-2</v>
      </c>
      <c r="DI122" s="16" cm="1">
        <f t="array" aca="1" ref="DI122" ca="1">MAX(_xlfn._xlws.FILTER(CT122:DG122,CT122:DG122&lt;BR122))</f>
        <v>-3.8617833421297747E-3</v>
      </c>
      <c r="DJ122" s="16" cm="1">
        <f t="array" aca="1" ref="DJ122" ca="1">MIN(_xlfn._xlws.FILTER(CT122:DG122,CT122:DG122&gt;BR122))</f>
        <v>-1.9605976967735778E-3</v>
      </c>
      <c r="DK122" s="2" cm="1">
        <f t="array" aca="1" ref="DK122" ca="1">_FV(EC122,"Fechamento anterior",TRUE)</f>
        <v>39.42</v>
      </c>
      <c r="DL122" s="28">
        <f t="shared" ca="1" si="106"/>
        <v>0.56350186010255165</v>
      </c>
      <c r="DM122" s="15">
        <f t="shared" ca="1" si="151"/>
        <v>39.267768500653247</v>
      </c>
      <c r="DN122" s="15">
        <f t="shared" ca="1" si="152"/>
        <v>39.342713238793188</v>
      </c>
      <c r="DO122" s="9"/>
      <c r="DP122" s="9"/>
      <c r="DQ122" s="9"/>
      <c r="DR122" s="89">
        <v>4.1747861412953797E-3</v>
      </c>
      <c r="DS122" s="89">
        <v>2.2792022792022812E-3</v>
      </c>
      <c r="DT122" s="89">
        <v>2.2429256263461934E-3</v>
      </c>
      <c r="DU122" s="89">
        <v>1.901185645356197E-3</v>
      </c>
      <c r="DV122" s="89">
        <f t="shared" ca="1" si="107"/>
        <v>1.901185645356197E-3</v>
      </c>
      <c r="DW122" s="72">
        <f t="shared" ca="1" si="108"/>
        <v>-0.40955474152490445</v>
      </c>
      <c r="DX122" s="37"/>
      <c r="DY122" s="35">
        <f t="shared" si="118"/>
        <v>0.78988219937462045</v>
      </c>
      <c r="DZ122" s="56"/>
      <c r="EA122" s="56"/>
      <c r="EC122" s="2" t="e" vm="121">
        <v>#VALUE!</v>
      </c>
      <c r="EE122" s="10" cm="1">
        <f t="array" aca="1" ref="EE122" ca="1">_FV(EC122,"Ações em circulação",TRUE)</f>
        <v>2307100000</v>
      </c>
      <c r="EF122" s="18">
        <f>VLOOKUP(BM122,Fundamentus!A:U,5,FALSE)</f>
        <v>2.2749999999999999</v>
      </c>
      <c r="EG122" s="2">
        <f t="shared" ca="1" si="109"/>
        <v>39864659780.21978</v>
      </c>
      <c r="EH122" s="17">
        <v>9228668739.1208801</v>
      </c>
      <c r="EI122" s="17">
        <f t="shared" ca="1" si="110"/>
        <v>9228668739.1208801</v>
      </c>
      <c r="EK122" s="16">
        <f t="shared" ca="1" si="97"/>
        <v>0</v>
      </c>
      <c r="EL122" s="32" t="str">
        <f>IF(VLOOKUP(BM122,Fundamentus!A:U,3,FALSE)&lt;15,"Bom",IF(VLOOKUP(BM122,Fundamentus!A:U,3,FALSE)&gt;15,"Ruim","n/a"))</f>
        <v>Bom</v>
      </c>
      <c r="EM122" s="28" t="str">
        <f>IF(VLOOKUP(BM122,Fundamentus!A:U,4,FALSE)&lt;1,"Baixo",IF(VLOOKUP(BM122,Fundamentus!A:U,4,FALSE)&lt;1.5,"Moderado",IF(VLOOKUP(BM122,Fundamentus!A:U,4,FALSE)&gt;1.5,"Alto","n/a")))</f>
        <v>Baixo</v>
      </c>
      <c r="EN122" s="17" t="str">
        <f>IF(VLOOKUP(BM122,Fundamentus!A:U,8,FALSE)&lt;0,"Risco elevado",IF(VLOOKUP(BM122,Fundamentus!A:U,8,FALSE)&lt;1,"Saudável",IF(VLOOKUP(BM122,Fundamentus!A:U,8,FALSE)&lt;3,"Estável",IF(VLOOKUP(BM122,Fundamentus!A:U,8,FALSE)&gt;3,"Alerta","n/a"))))</f>
        <v>Estável</v>
      </c>
      <c r="EO122" s="28" t="str">
        <f t="shared" si="111"/>
        <v>Bom</v>
      </c>
      <c r="EP122" s="17" t="str">
        <f>IF(VLOOKUP(BM122,Fundamentus!A:U,12,FALSE)&lt;2,"Subvalorizada",IF(VLOOKUP(BM122,Fundamentus!A:U,12,FALSE)&lt;6,"Muita barata",IF(VLOOKUP(BM122,Fundamentus!A:U,12,FALSE)&lt;6,"Barata",IF(VLOOKUP(BM122,Fundamentus!A:U,12,FALSE)&lt;8,"Atrativa",IF(VLOOKUP(BM122,Fundamentus!A:U,12,FALSE)&gt;8,"Supervalorizada","n/a")))))</f>
        <v>Atrativa</v>
      </c>
      <c r="ER122" s="17" t="str">
        <f>IF(VLOOKUP(BM122,Fundamentus!A:U,17,FALSE)&lt;0.1,"Fraco retorno",IF(VLOOKUP(BM122,Fundamentus!A:U,17,FALSE)&gt;0.1,"Bom retorno","n/a"))</f>
        <v>Fraco retorno</v>
      </c>
      <c r="ES122" s="17" t="str">
        <f>IF(VLOOKUP(BM122,Fundamentus!A:U,16,FALSE)&lt;0.1,"Ineficiente",IF(VLOOKUP(BM122,Fundamentus!A:U,16,FALSE)&gt;0.1,"Eficiente","n/a"))</f>
        <v>Ineficiente</v>
      </c>
      <c r="ET122" s="33" t="str">
        <f>IF(VLOOKUP(BM122,Fundamentus!A:U,16,FALSE)&lt;0.1,"Oper. Ineficiente",IF(VLOOKUP(BM122,Fundamentus!A:U,16,FALSE)&gt;0.1,"Oper.Eficiente","n/a"))</f>
        <v>Oper. Ineficiente</v>
      </c>
      <c r="EU122" s="34">
        <f>VLOOKUP(BM122,Fundamentus!A:U,14,FALSE)</f>
        <v>0.23150000000000001</v>
      </c>
      <c r="EV122" s="17" t="str">
        <f>IF(VLOOKUP(BM122,Fundamentus!A:U,21,FALSE)&lt;0,"Negativo",IF(VLOOKUP(BM122,Fundamentus!A:U,21,FALSE)&lt;0.05,"Fraco",IF(VLOOKUP(BM122,Fundamentus!A:U,21,FALSE)&lt;0.1,"Bom",IF(VLOOKUP(BM122,Fundamentus!A:U,21,FALSE)&gt;0.1,"Muito bom","n/a"))))</f>
        <v>Bom</v>
      </c>
      <c r="EX122" s="29" t="str">
        <f>IF(VLOOKUP(BM122,Fundamentus!A:U,15,FALSE)&gt;1,"Bom",IF(VLOOKUP(BM122,Fundamentus!A:U,15,FALSE)&lt;1,"Ruim","n/a"))</f>
        <v>Bom</v>
      </c>
      <c r="EY122" s="17" t="str">
        <f>IF(VLOOKUP(BM122,Fundamentus!A:U,20,FALSE)&lt;0.5,"Baixa",IF(VLOOKUP(BM122,Fundamentus!A:U,20,FALSE)&lt;1,"Moderada",IF(VLOOKUP(BM122,Fundamentus!A:U,20,FALSE)&lt;2,"Alerta",IF(VLOOKUP(BM122,Fundamentus!A:U,20,FALSE)&gt;2,"Alta","n/a"))))</f>
        <v>Moderada</v>
      </c>
      <c r="EZ122" s="10"/>
    </row>
    <row r="123" spans="1:156" s="2" customFormat="1" ht="11.25" x14ac:dyDescent="0.2">
      <c r="A123" s="4">
        <v>7.24</v>
      </c>
      <c r="B123" s="4">
        <v>7.26</v>
      </c>
      <c r="C123" s="4">
        <v>6.47</v>
      </c>
      <c r="D123" s="4">
        <v>6.13</v>
      </c>
      <c r="E123" s="4">
        <v>5.97</v>
      </c>
      <c r="F123" s="4">
        <v>5.96</v>
      </c>
      <c r="G123" s="4">
        <v>5.76</v>
      </c>
      <c r="H123" s="4">
        <v>5.74</v>
      </c>
      <c r="I123" s="4">
        <v>5.72</v>
      </c>
      <c r="J123" s="4">
        <v>6</v>
      </c>
      <c r="K123" s="4">
        <v>5.99</v>
      </c>
      <c r="L123" s="4">
        <v>5.83</v>
      </c>
      <c r="M123" s="4">
        <v>5.88</v>
      </c>
      <c r="N123" s="4">
        <v>5.97</v>
      </c>
      <c r="O123" s="4">
        <v>5.99</v>
      </c>
      <c r="P123" s="4">
        <v>6.06</v>
      </c>
      <c r="Q123" s="4">
        <v>6.27</v>
      </c>
      <c r="R123" s="4">
        <v>6.17</v>
      </c>
      <c r="S123" s="4">
        <v>6.02</v>
      </c>
      <c r="T123" s="4">
        <v>6.1</v>
      </c>
      <c r="U123" s="4">
        <v>5.7</v>
      </c>
      <c r="V123" s="4">
        <v>5.81</v>
      </c>
      <c r="W123" s="4">
        <v>5.63</v>
      </c>
      <c r="X123" s="4">
        <v>6</v>
      </c>
      <c r="Y123" s="4">
        <v>5.83</v>
      </c>
      <c r="Z123" s="4">
        <v>5.81</v>
      </c>
      <c r="AA123" s="4">
        <v>5.7</v>
      </c>
      <c r="AB123" s="4">
        <v>5.84</v>
      </c>
      <c r="AC123" s="4">
        <v>5.79</v>
      </c>
      <c r="AD123" s="4">
        <v>6.07</v>
      </c>
      <c r="AE123" s="4">
        <v>5.82</v>
      </c>
      <c r="AF123" s="4">
        <v>6.08</v>
      </c>
      <c r="AG123" s="4">
        <v>5.82</v>
      </c>
      <c r="AH123" s="4">
        <v>5.59</v>
      </c>
      <c r="AI123" s="4">
        <v>5.57</v>
      </c>
      <c r="AJ123" s="4">
        <v>5.17</v>
      </c>
      <c r="AK123" s="4">
        <v>5.26</v>
      </c>
      <c r="AL123" s="4">
        <v>5.53</v>
      </c>
      <c r="AM123" s="4">
        <v>5.77</v>
      </c>
      <c r="AN123" s="4">
        <v>5.97</v>
      </c>
      <c r="AO123" s="4">
        <v>5.87</v>
      </c>
      <c r="AP123" s="4">
        <v>5.97</v>
      </c>
      <c r="AQ123" s="4">
        <v>5.91</v>
      </c>
      <c r="AR123" s="4">
        <v>6.03</v>
      </c>
      <c r="AS123" s="4">
        <v>6.11</v>
      </c>
      <c r="AT123" s="4">
        <v>6.19</v>
      </c>
      <c r="AU123" s="4">
        <v>6.0949999999999998</v>
      </c>
      <c r="AV123" s="4">
        <v>5.98</v>
      </c>
      <c r="AW123" s="4">
        <v>5.9</v>
      </c>
      <c r="AX123" s="4">
        <v>5.92</v>
      </c>
      <c r="AY123" s="12">
        <v>5.98</v>
      </c>
      <c r="AZ123" s="12">
        <v>6.07</v>
      </c>
      <c r="BA123" s="12">
        <v>5.97</v>
      </c>
      <c r="BB123" s="15">
        <v>6</v>
      </c>
      <c r="BC123" s="52">
        <v>6.93</v>
      </c>
      <c r="BD123" s="52">
        <v>7.06</v>
      </c>
      <c r="BE123" s="52">
        <v>7.19</v>
      </c>
      <c r="BF123" s="52">
        <v>7.39</v>
      </c>
      <c r="BG123" s="67">
        <v>7.65</v>
      </c>
      <c r="BH123" s="52">
        <v>7.89</v>
      </c>
      <c r="BI123" s="52">
        <v>7.72</v>
      </c>
      <c r="BJ123" s="52">
        <v>7.78</v>
      </c>
      <c r="BK123" s="52">
        <v>7.71</v>
      </c>
      <c r="BL123" s="52" cm="1">
        <f t="array" aca="1" ref="BL123" ca="1">_FV(EC123,"Preço")</f>
        <v>7.71</v>
      </c>
      <c r="BM123" s="69" t="s">
        <v>119</v>
      </c>
      <c r="BN123" s="36" cm="1">
        <f t="array" aca="1" ref="BN123" ca="1">_FV(EC123,"Média de volume",TRUE)</f>
        <v>355710</v>
      </c>
      <c r="BO123" s="36">
        <v>283200</v>
      </c>
      <c r="BP123" s="36" cm="1">
        <f t="array" aca="1" ref="BP123" ca="1">_FV(EC123,"Volume")</f>
        <v>283200</v>
      </c>
      <c r="BQ123" s="24" cm="1">
        <f t="array" aca="1" ref="BQ123" ca="1">_FV(EC123,"Beta")</f>
        <v>1.1144000000000001</v>
      </c>
      <c r="BR123" s="71" cm="1">
        <f t="array" aca="1" ref="BR123" ca="1">_FV(EC123,"Variação (%)",TRUE)</f>
        <v>-2.1573999999999999E-2</v>
      </c>
      <c r="BT123" s="17" cm="1">
        <f t="array" aca="1" ref="BT123" ca="1">_FV(EC123,"Baixo")</f>
        <v>7.71</v>
      </c>
      <c r="BU123" s="17" cm="1">
        <f t="array" aca="1" ref="BU123" ca="1">_FV(EC123,"Alto")</f>
        <v>7.88</v>
      </c>
      <c r="BV123" s="24"/>
      <c r="BW123" s="63">
        <f ca="1">SQRT(22.5*(BL123/VLOOKUP(BM123,Fundamentus!A:U,3,FALSE))*(BL123/VLOOKUP(BM123,Fundamentus!A:U,4,FALSE)))</f>
        <v>9.4763889636483221</v>
      </c>
      <c r="BY123" s="62">
        <f t="shared" ca="1" si="112"/>
        <v>0</v>
      </c>
      <c r="BZ123" s="8"/>
      <c r="CA123" s="61">
        <f t="shared" si="113"/>
        <v>5.17</v>
      </c>
      <c r="CB123" s="61">
        <f t="shared" si="114"/>
        <v>7.89</v>
      </c>
      <c r="CC123" s="61">
        <f t="shared" si="115"/>
        <v>6.168333333333333</v>
      </c>
      <c r="CD123" s="14"/>
      <c r="CE123" s="35">
        <f t="shared" si="98"/>
        <v>7.4444058056648581</v>
      </c>
      <c r="CF123" s="15">
        <f t="shared" si="116"/>
        <v>7.7509999999999764</v>
      </c>
      <c r="CG123" s="35">
        <f t="shared" si="99"/>
        <v>8.0575941943350937</v>
      </c>
      <c r="CI123" s="14"/>
      <c r="CJ123" s="17">
        <f t="shared" si="100"/>
        <v>3.2833333333333332</v>
      </c>
      <c r="CK123" s="17">
        <f t="shared" si="101"/>
        <v>4.2266666666666666</v>
      </c>
      <c r="CL123" s="17">
        <f t="shared" si="102"/>
        <v>6.003333333333333</v>
      </c>
      <c r="CM123" s="38">
        <f t="shared" si="117"/>
        <v>6.9466666666666663</v>
      </c>
      <c r="CN123" s="17">
        <f t="shared" si="103"/>
        <v>8.7233333333333327</v>
      </c>
      <c r="CO123" s="17">
        <f t="shared" si="104"/>
        <v>9.6666666666666661</v>
      </c>
      <c r="CP123" s="17">
        <f t="shared" si="105"/>
        <v>11.443333333333332</v>
      </c>
      <c r="CQ123" s="2" cm="1">
        <f t="array" aca="1" ref="CQ123" ca="1">MAX(_xlfn._xlws.FILTER(CJ123:CP123,CJ123:CP123&lt;BL123))</f>
        <v>6.9466666666666663</v>
      </c>
      <c r="CR123" s="2" cm="1">
        <f t="array" aca="1" ref="CR123" ca="1">MIN(_xlfn._xlws.FILTER($CJ123:$CP123,$CJ123:$CP123&gt;BL123))</f>
        <v>8.7233333333333327</v>
      </c>
      <c r="CS123" s="16">
        <f t="shared" ca="1" si="136"/>
        <v>0.25575815738963525</v>
      </c>
      <c r="CT123" s="20">
        <f t="shared" ca="1" si="137"/>
        <v>-0.12787907869481763</v>
      </c>
      <c r="CU123" s="20">
        <f t="shared" ca="1" si="138"/>
        <v>-8.5252719129878418E-2</v>
      </c>
      <c r="CV123" s="20">
        <f t="shared" ca="1" si="139"/>
        <v>-5.1151631477927048E-2</v>
      </c>
      <c r="CW123" s="20">
        <f t="shared" ca="1" si="140"/>
        <v>-2.8417573043292805E-2</v>
      </c>
      <c r="CX123" s="20">
        <f t="shared" ca="1" si="141"/>
        <v>-1.5044597493507957E-2</v>
      </c>
      <c r="CY123" s="20">
        <f t="shared" ca="1" si="142"/>
        <v>-7.7502471936253111E-3</v>
      </c>
      <c r="CZ123" s="20">
        <f t="shared" ca="1" si="143"/>
        <v>-3.9347408829174656E-3</v>
      </c>
      <c r="DA123" s="21">
        <f t="shared" ca="1" si="144"/>
        <v>3.9347408829174656E-3</v>
      </c>
      <c r="DB123" s="21">
        <f t="shared" ca="1" si="145"/>
        <v>7.7502471936253111E-3</v>
      </c>
      <c r="DC123" s="21">
        <f t="shared" ca="1" si="146"/>
        <v>1.5044597493507957E-2</v>
      </c>
      <c r="DD123" s="21">
        <f t="shared" ca="1" si="147"/>
        <v>2.8417573043292805E-2</v>
      </c>
      <c r="DE123" s="21">
        <f t="shared" ca="1" si="148"/>
        <v>5.1151631477927048E-2</v>
      </c>
      <c r="DF123" s="21">
        <f t="shared" ca="1" si="149"/>
        <v>8.5252719129878418E-2</v>
      </c>
      <c r="DG123" s="21">
        <f t="shared" ca="1" si="150"/>
        <v>0.12787907869481763</v>
      </c>
      <c r="DI123" s="16" cm="1">
        <f t="array" aca="1" ref="DI123" ca="1">MAX(_xlfn._xlws.FILTER(CT123:DG123,CT123:DG123&lt;BR123))</f>
        <v>-2.8417573043292805E-2</v>
      </c>
      <c r="DJ123" s="16" cm="1">
        <f t="array" aca="1" ref="DJ123" ca="1">MIN(_xlfn._xlws.FILTER(CT123:DG123,CT123:DG123&gt;BR123))</f>
        <v>-1.5044597493507957E-2</v>
      </c>
      <c r="DK123" s="2" cm="1">
        <f t="array" aca="1" ref="DK123" ca="1">_FV(EC123,"Fechamento anterior",TRUE)</f>
        <v>7.88</v>
      </c>
      <c r="DL123" s="28">
        <f t="shared" ca="1" si="106"/>
        <v>0.51177607832306282</v>
      </c>
      <c r="DM123" s="15">
        <f t="shared" ca="1" si="151"/>
        <v>7.6560695244188528</v>
      </c>
      <c r="DN123" s="15">
        <f t="shared" ca="1" si="152"/>
        <v>7.7614485717511572</v>
      </c>
      <c r="DO123" s="9"/>
      <c r="DP123" s="9"/>
      <c r="DQ123" s="9"/>
      <c r="DR123" s="89">
        <v>1.925925925925925E-2</v>
      </c>
      <c r="DS123" s="89">
        <v>6.9106827347006662E-3</v>
      </c>
      <c r="DT123" s="89">
        <v>7.2943502998826454E-3</v>
      </c>
      <c r="DU123" s="89">
        <v>1.3372975549784848E-2</v>
      </c>
      <c r="DV123" s="89">
        <f t="shared" ca="1" si="107"/>
        <v>1.3372975549784848E-2</v>
      </c>
      <c r="DW123" s="72">
        <f t="shared" ca="1" si="108"/>
        <v>-0.13372725497587845</v>
      </c>
      <c r="DX123" s="37"/>
      <c r="DY123" s="35">
        <f t="shared" si="118"/>
        <v>0.15329709716755896</v>
      </c>
      <c r="DZ123" s="56"/>
      <c r="EA123" s="56"/>
      <c r="EC123" s="2" t="e" vm="122">
        <v>#VALUE!</v>
      </c>
      <c r="EE123" s="10" cm="1">
        <f t="array" aca="1" ref="EE123" ca="1">_FV(EC123,"Ações em circulação",TRUE)</f>
        <v>159907300</v>
      </c>
      <c r="EF123" s="18">
        <f>VLOOKUP(BM123,Fundamentus!A:U,5,FALSE)</f>
        <v>0.93700000000000006</v>
      </c>
      <c r="EG123" s="2">
        <f t="shared" ca="1" si="109"/>
        <v>1315779384.2049093</v>
      </c>
      <c r="EH123" s="17">
        <v>316050208.08601922</v>
      </c>
      <c r="EI123" s="17">
        <f t="shared" ca="1" si="110"/>
        <v>316050208.08601922</v>
      </c>
      <c r="EK123" s="16">
        <f t="shared" ca="1" si="97"/>
        <v>0</v>
      </c>
      <c r="EL123" s="32" t="str">
        <f>IF(VLOOKUP(BM123,Fundamentus!A:U,3,FALSE)&lt;15,"Bom",IF(VLOOKUP(BM123,Fundamentus!A:U,3,FALSE)&gt;15,"Ruim","n/a"))</f>
        <v>Bom</v>
      </c>
      <c r="EM123" s="28" t="str">
        <f>IF(VLOOKUP(BM123,Fundamentus!A:U,4,FALSE)&lt;1,"Baixo",IF(VLOOKUP(BM123,Fundamentus!A:U,4,FALSE)&lt;1.5,"Moderado",IF(VLOOKUP(BM123,Fundamentus!A:U,4,FALSE)&gt;1.5,"Alto","n/a")))</f>
        <v>Alto</v>
      </c>
      <c r="EN123" s="17" t="str">
        <f>IF(VLOOKUP(BM123,Fundamentus!A:U,8,FALSE)&lt;0,"Risco elevado",IF(VLOOKUP(BM123,Fundamentus!A:U,8,FALSE)&lt;1,"Saudável",IF(VLOOKUP(BM123,Fundamentus!A:U,8,FALSE)&lt;3,"Estável",IF(VLOOKUP(BM123,Fundamentus!A:U,8,FALSE)&gt;3,"Alerta","n/a"))))</f>
        <v>Alerta</v>
      </c>
      <c r="EO123" s="28" t="str">
        <f t="shared" si="111"/>
        <v>Ruim</v>
      </c>
      <c r="EP123" s="17" t="str">
        <f>IF(VLOOKUP(BM123,Fundamentus!A:U,12,FALSE)&lt;2,"Subvalorizada",IF(VLOOKUP(BM123,Fundamentus!A:U,12,FALSE)&lt;6,"Muita barata",IF(VLOOKUP(BM123,Fundamentus!A:U,12,FALSE)&lt;6,"Barata",IF(VLOOKUP(BM123,Fundamentus!A:U,12,FALSE)&lt;8,"Atrativa",IF(VLOOKUP(BM123,Fundamentus!A:U,12,FALSE)&gt;8,"Supervalorizada","n/a")))))</f>
        <v>Subvalorizada</v>
      </c>
      <c r="ER123" s="17" t="str">
        <f>IF(VLOOKUP(BM123,Fundamentus!A:U,17,FALSE)&lt;0.1,"Fraco retorno",IF(VLOOKUP(BM123,Fundamentus!A:U,17,FALSE)&gt;0.1,"Bom retorno","n/a"))</f>
        <v>Bom retorno</v>
      </c>
      <c r="ES123" s="17" t="str">
        <f>IF(VLOOKUP(BM123,Fundamentus!A:U,16,FALSE)&lt;0.1,"Ineficiente",IF(VLOOKUP(BM123,Fundamentus!A:U,16,FALSE)&gt;0.1,"Eficiente","n/a"))</f>
        <v>Eficiente</v>
      </c>
      <c r="ET123" s="33" t="str">
        <f>IF(VLOOKUP(BM123,Fundamentus!A:U,16,FALSE)&lt;0.1,"Oper. Ineficiente",IF(VLOOKUP(BM123,Fundamentus!A:U,16,FALSE)&gt;0.1,"Oper.Eficiente","n/a"))</f>
        <v>Oper.Eficiente</v>
      </c>
      <c r="EU123" s="34">
        <f>VLOOKUP(BM123,Fundamentus!A:U,14,FALSE)</f>
        <v>0.2402</v>
      </c>
      <c r="EV123" s="17" t="str">
        <f>IF(VLOOKUP(BM123,Fundamentus!A:U,21,FALSE)&lt;0,"Negativo",IF(VLOOKUP(BM123,Fundamentus!A:U,21,FALSE)&lt;0.05,"Fraco",IF(VLOOKUP(BM123,Fundamentus!A:U,21,FALSE)&lt;0.1,"Bom",IF(VLOOKUP(BM123,Fundamentus!A:U,21,FALSE)&gt;0.1,"Muito bom","n/a"))))</f>
        <v>Muito bom</v>
      </c>
      <c r="EX123" s="29" t="str">
        <f>IF(VLOOKUP(BM123,Fundamentus!A:U,15,FALSE)&gt;1,"Bom",IF(VLOOKUP(BM123,Fundamentus!A:U,15,FALSE)&lt;1,"Ruim","n/a"))</f>
        <v>Bom</v>
      </c>
      <c r="EY123" s="17" t="str">
        <f>IF(VLOOKUP(BM123,Fundamentus!A:U,20,FALSE)&lt;0.5,"Baixa",IF(VLOOKUP(BM123,Fundamentus!A:U,20,FALSE)&lt;1,"Moderada",IF(VLOOKUP(BM123,Fundamentus!A:U,20,FALSE)&lt;2,"Alerta",IF(VLOOKUP(BM123,Fundamentus!A:U,20,FALSE)&gt;2,"Alta","n/a"))))</f>
        <v>Moderada</v>
      </c>
      <c r="EZ123" s="10">
        <v>3</v>
      </c>
    </row>
    <row r="124" spans="1:156" s="2" customFormat="1" ht="11.25" x14ac:dyDescent="0.2">
      <c r="A124" s="4">
        <v>5.63</v>
      </c>
      <c r="B124" s="4">
        <v>5.52</v>
      </c>
      <c r="C124" s="4">
        <v>5.81</v>
      </c>
      <c r="D124" s="4">
        <v>5.69</v>
      </c>
      <c r="E124" s="4">
        <v>5.56</v>
      </c>
      <c r="F124" s="4">
        <v>5.48</v>
      </c>
      <c r="G124" s="4">
        <v>5.31</v>
      </c>
      <c r="H124" s="4">
        <v>5.5</v>
      </c>
      <c r="I124" s="4">
        <v>5.59</v>
      </c>
      <c r="J124" s="4">
        <v>5.53</v>
      </c>
      <c r="K124" s="4">
        <v>5.46</v>
      </c>
      <c r="L124" s="4">
        <v>5.33</v>
      </c>
      <c r="M124" s="4">
        <v>5.41</v>
      </c>
      <c r="N124" s="4">
        <v>5.78</v>
      </c>
      <c r="O124" s="4">
        <v>5.8</v>
      </c>
      <c r="P124" s="4">
        <v>5.76</v>
      </c>
      <c r="Q124" s="4">
        <v>5.85</v>
      </c>
      <c r="R124" s="4">
        <v>5.85</v>
      </c>
      <c r="S124" s="4">
        <v>6.05</v>
      </c>
      <c r="T124" s="4">
        <v>6.52</v>
      </c>
      <c r="U124" s="4">
        <v>6.4</v>
      </c>
      <c r="V124" s="4">
        <v>5.94</v>
      </c>
      <c r="W124" s="4">
        <v>5.68</v>
      </c>
      <c r="X124" s="4">
        <v>5.55</v>
      </c>
      <c r="Y124" s="4">
        <v>5.57</v>
      </c>
      <c r="Z124" s="4">
        <v>5.52</v>
      </c>
      <c r="AA124" s="4">
        <v>5.31</v>
      </c>
      <c r="AB124" s="4">
        <v>5.29</v>
      </c>
      <c r="AC124" s="4">
        <v>5.23</v>
      </c>
      <c r="AD124" s="4">
        <v>5.26</v>
      </c>
      <c r="AE124" s="4">
        <v>6</v>
      </c>
      <c r="AF124" s="4">
        <v>6.18</v>
      </c>
      <c r="AG124" s="4">
        <v>5.63</v>
      </c>
      <c r="AH124" s="4">
        <v>5.46</v>
      </c>
      <c r="AI124" s="4">
        <v>5.55</v>
      </c>
      <c r="AJ124" s="4">
        <v>5.03</v>
      </c>
      <c r="AK124" s="4">
        <v>5.12</v>
      </c>
      <c r="AL124" s="4">
        <v>5.18</v>
      </c>
      <c r="AM124" s="4">
        <v>5.13</v>
      </c>
      <c r="AN124" s="4">
        <v>5.14</v>
      </c>
      <c r="AO124" s="4">
        <v>5.38</v>
      </c>
      <c r="AP124" s="4">
        <v>5.41</v>
      </c>
      <c r="AQ124" s="4">
        <v>5.45</v>
      </c>
      <c r="AR124" s="4">
        <v>5.36</v>
      </c>
      <c r="AS124" s="4">
        <v>5.56</v>
      </c>
      <c r="AT124" s="4">
        <v>5.47</v>
      </c>
      <c r="AU124" s="4">
        <v>5.72</v>
      </c>
      <c r="AV124" s="4">
        <v>5.48</v>
      </c>
      <c r="AW124" s="4">
        <v>5.67</v>
      </c>
      <c r="AX124" s="4">
        <v>5.53</v>
      </c>
      <c r="AY124" s="12">
        <v>5.69</v>
      </c>
      <c r="AZ124" s="12">
        <v>5.92</v>
      </c>
      <c r="BA124" s="12">
        <v>6.08</v>
      </c>
      <c r="BB124" s="15">
        <v>6.12</v>
      </c>
      <c r="BC124" s="52">
        <v>6.15</v>
      </c>
      <c r="BD124" s="52">
        <v>6.4</v>
      </c>
      <c r="BE124" s="52">
        <v>6.51</v>
      </c>
      <c r="BF124" s="52">
        <v>6.57</v>
      </c>
      <c r="BG124" s="67">
        <v>7.06</v>
      </c>
      <c r="BH124" s="52">
        <v>7.29</v>
      </c>
      <c r="BI124" s="52">
        <v>7.5</v>
      </c>
      <c r="BJ124" s="52">
        <v>7.41</v>
      </c>
      <c r="BK124" s="52">
        <v>7.23</v>
      </c>
      <c r="BL124" s="52" cm="1">
        <f t="array" aca="1" ref="BL124" ca="1">_FV(EC124,"Preço")</f>
        <v>7.23</v>
      </c>
      <c r="BM124" s="69" t="s">
        <v>86</v>
      </c>
      <c r="BN124" s="36" cm="1">
        <f t="array" aca="1" ref="BN124" ca="1">_FV(EC124,"Média de volume",TRUE)</f>
        <v>1413380</v>
      </c>
      <c r="BO124" s="36">
        <v>1187300</v>
      </c>
      <c r="BP124" s="36" cm="1">
        <f t="array" aca="1" ref="BP124" ca="1">_FV(EC124,"Volume")</f>
        <v>1187300</v>
      </c>
      <c r="BQ124" s="24" cm="1">
        <f t="array" aca="1" ref="BQ124" ca="1">_FV(EC124,"Beta")</f>
        <v>0.61980000000000002</v>
      </c>
      <c r="BR124" s="71" cm="1">
        <f t="array" aca="1" ref="BR124" ca="1">_FV(EC124,"Variação (%)",TRUE)</f>
        <v>1.831E-2</v>
      </c>
      <c r="BT124" s="17" cm="1">
        <f t="array" aca="1" ref="BT124" ca="1">_FV(EC124,"Baixo")</f>
        <v>7.01</v>
      </c>
      <c r="BU124" s="17" cm="1">
        <f t="array" aca="1" ref="BU124" ca="1">_FV(EC124,"Alto")</f>
        <v>7.27</v>
      </c>
      <c r="BV124" s="24"/>
      <c r="BW124" s="63">
        <f ca="1">SQRT(22.5*(BL124/VLOOKUP(BM124,Fundamentus!A:U,3,FALSE))*(BL124/VLOOKUP(BM124,Fundamentus!A:U,4,FALSE)))</f>
        <v>17.155816112205621</v>
      </c>
      <c r="BY124" s="62">
        <f t="shared" ca="1" si="112"/>
        <v>0</v>
      </c>
      <c r="BZ124" s="8"/>
      <c r="CA124" s="61">
        <f t="shared" si="113"/>
        <v>5.03</v>
      </c>
      <c r="CB124" s="61">
        <f t="shared" si="114"/>
        <v>7.5</v>
      </c>
      <c r="CC124" s="61">
        <f t="shared" si="115"/>
        <v>5.786666666666668</v>
      </c>
      <c r="CD124" s="14"/>
      <c r="CE124" s="35">
        <f t="shared" si="98"/>
        <v>6.7349935231141655</v>
      </c>
      <c r="CF124" s="15">
        <f t="shared" si="116"/>
        <v>7.3439999999999941</v>
      </c>
      <c r="CG124" s="35">
        <f t="shared" si="99"/>
        <v>7.9530064768858226</v>
      </c>
      <c r="CI124" s="14"/>
      <c r="CJ124" s="17">
        <f t="shared" si="100"/>
        <v>3.323333333333335</v>
      </c>
      <c r="CK124" s="17">
        <f t="shared" si="101"/>
        <v>4.1766666666666676</v>
      </c>
      <c r="CL124" s="17">
        <f t="shared" si="102"/>
        <v>5.7933333333333348</v>
      </c>
      <c r="CM124" s="38">
        <f t="shared" si="117"/>
        <v>6.6466666666666674</v>
      </c>
      <c r="CN124" s="17">
        <f t="shared" si="103"/>
        <v>8.2633333333333354</v>
      </c>
      <c r="CO124" s="17">
        <f t="shared" si="104"/>
        <v>9.1166666666666671</v>
      </c>
      <c r="CP124" s="17">
        <f t="shared" si="105"/>
        <v>10.733333333333334</v>
      </c>
      <c r="CQ124" s="2" cm="1">
        <f t="array" aca="1" ref="CQ124" ca="1">MAX(_xlfn._xlws.FILTER(CJ124:CP124,CJ124:CP124&lt;BL124))</f>
        <v>6.6466666666666674</v>
      </c>
      <c r="CR124" s="2" cm="1">
        <f t="array" aca="1" ref="CR124" ca="1">MIN(_xlfn._xlws.FILTER($CJ124:$CP124,$CJ124:$CP124&gt;BL124))</f>
        <v>8.2633333333333354</v>
      </c>
      <c r="CS124" s="16">
        <f t="shared" ca="1" si="136"/>
        <v>0.24322968906720188</v>
      </c>
      <c r="CT124" s="20">
        <f t="shared" ca="1" si="137"/>
        <v>-0.12161484453360094</v>
      </c>
      <c r="CU124" s="20">
        <f t="shared" ca="1" si="138"/>
        <v>-8.1076563022400627E-2</v>
      </c>
      <c r="CV124" s="20">
        <f t="shared" ca="1" si="139"/>
        <v>-4.8645937813440378E-2</v>
      </c>
      <c r="CW124" s="20">
        <f t="shared" ca="1" si="140"/>
        <v>-2.7025521007466875E-2</v>
      </c>
      <c r="CX124" s="20">
        <f t="shared" ca="1" si="141"/>
        <v>-1.4307628768658934E-2</v>
      </c>
      <c r="CY124" s="20">
        <f t="shared" ca="1" si="142"/>
        <v>-7.3705966384000569E-3</v>
      </c>
      <c r="CZ124" s="20">
        <f t="shared" ca="1" si="143"/>
        <v>-3.7419952164184905E-3</v>
      </c>
      <c r="DA124" s="21">
        <f t="shared" ca="1" si="144"/>
        <v>3.7419952164184905E-3</v>
      </c>
      <c r="DB124" s="21">
        <f t="shared" ca="1" si="145"/>
        <v>7.3705966384000569E-3</v>
      </c>
      <c r="DC124" s="21">
        <f t="shared" ca="1" si="146"/>
        <v>1.4307628768658934E-2</v>
      </c>
      <c r="DD124" s="21">
        <f t="shared" ca="1" si="147"/>
        <v>2.7025521007466875E-2</v>
      </c>
      <c r="DE124" s="21">
        <f t="shared" ca="1" si="148"/>
        <v>4.8645937813440378E-2</v>
      </c>
      <c r="DF124" s="21">
        <f t="shared" ca="1" si="149"/>
        <v>8.1076563022400627E-2</v>
      </c>
      <c r="DG124" s="21">
        <f t="shared" ca="1" si="150"/>
        <v>0.12161484453360094</v>
      </c>
      <c r="DI124" s="16" cm="1">
        <f t="array" aca="1" ref="DI124" ca="1">MAX(_xlfn._xlws.FILTER(CT124:DG124,CT124:DG124&lt;BR124))</f>
        <v>1.4307628768658934E-2</v>
      </c>
      <c r="DJ124" s="16" cm="1">
        <f t="array" aca="1" ref="DJ124" ca="1">MIN(_xlfn._xlws.FILTER(CT124:DG124,CT124:DG124&gt;BR124))</f>
        <v>2.7025521007466875E-2</v>
      </c>
      <c r="DK124" s="2" cm="1">
        <f t="array" aca="1" ref="DK124" ca="1">_FV(EC124,"Fechamento anterior",TRUE)</f>
        <v>7.1</v>
      </c>
      <c r="DL124" s="28">
        <f t="shared" ca="1" si="106"/>
        <v>0.31469289966604413</v>
      </c>
      <c r="DM124" s="15">
        <f t="shared" ca="1" si="151"/>
        <v>7.2015841642574783</v>
      </c>
      <c r="DN124" s="15">
        <f t="shared" ca="1" si="152"/>
        <v>7.2918811991530141</v>
      </c>
      <c r="DO124" s="9"/>
      <c r="DP124" s="9"/>
      <c r="DQ124" s="9"/>
      <c r="DR124" s="89">
        <v>3.9394781779913471E-3</v>
      </c>
      <c r="DS124" s="89">
        <v>1.1085513404665601E-2</v>
      </c>
      <c r="DT124" s="89">
        <v>7.4839904328369809E-3</v>
      </c>
      <c r="DU124" s="89">
        <v>1.271789223880794E-2</v>
      </c>
      <c r="DV124" s="89">
        <f t="shared" ca="1" si="107"/>
        <v>1.271789223880794E-2</v>
      </c>
      <c r="DW124" s="75">
        <f t="shared" ca="1" si="108"/>
        <v>-0.18719012740707752</v>
      </c>
      <c r="DX124" s="37"/>
      <c r="DY124" s="35">
        <f t="shared" si="118"/>
        <v>0.3045032384429141</v>
      </c>
      <c r="DZ124" s="56"/>
      <c r="EA124" s="56"/>
      <c r="EC124" s="2" t="e" vm="123">
        <v>#VALUE!</v>
      </c>
      <c r="EE124" s="10" cm="1">
        <f t="array" aca="1" ref="EE124" ca="1">_FV(EC124,"Ações em circulação",TRUE)</f>
        <v>1511206000</v>
      </c>
      <c r="EF124" s="18">
        <f>VLOOKUP(BM124,Fundamentus!A:U,5,FALSE)</f>
        <v>1.534</v>
      </c>
      <c r="EG124" s="2">
        <f t="shared" ca="1" si="109"/>
        <v>7122568044.3285522</v>
      </c>
      <c r="EH124" s="17">
        <v>2430932473.529335</v>
      </c>
      <c r="EI124" s="17">
        <f t="shared" ca="1" si="110"/>
        <v>2430932473.529335</v>
      </c>
      <c r="EK124" s="16">
        <f t="shared" ca="1" si="97"/>
        <v>0</v>
      </c>
      <c r="EL124" s="32" t="str">
        <f>IF(VLOOKUP(BM124,Fundamentus!A:U,3,FALSE)&lt;15,"Bom",IF(VLOOKUP(BM124,Fundamentus!A:U,3,FALSE)&gt;15,"Ruim","n/a"))</f>
        <v>Bom</v>
      </c>
      <c r="EM124" s="28" t="str">
        <f>IF(VLOOKUP(BM124,Fundamentus!A:U,4,FALSE)&lt;1,"Baixo",IF(VLOOKUP(BM124,Fundamentus!A:U,4,FALSE)&lt;1.5,"Moderado",IF(VLOOKUP(BM124,Fundamentus!A:U,4,FALSE)&gt;1.5,"Alto","n/a")))</f>
        <v>Baixo</v>
      </c>
      <c r="EN124" s="17" t="str">
        <f>IF(VLOOKUP(BM124,Fundamentus!A:U,8,FALSE)&lt;0,"Risco elevado",IF(VLOOKUP(BM124,Fundamentus!A:U,8,FALSE)&lt;1,"Saudável",IF(VLOOKUP(BM124,Fundamentus!A:U,8,FALSE)&lt;3,"Estável",IF(VLOOKUP(BM124,Fundamentus!A:U,8,FALSE)&gt;3,"Alerta","n/a"))))</f>
        <v>Alerta</v>
      </c>
      <c r="EO124" s="28" t="str">
        <f t="shared" si="111"/>
        <v>Bom</v>
      </c>
      <c r="EP124" s="17" t="str">
        <f>IF(VLOOKUP(BM124,Fundamentus!A:U,12,FALSE)&lt;2,"Subvalorizada",IF(VLOOKUP(BM124,Fundamentus!A:U,12,FALSE)&lt;6,"Muita barata",IF(VLOOKUP(BM124,Fundamentus!A:U,12,FALSE)&lt;6,"Barata",IF(VLOOKUP(BM124,Fundamentus!A:U,12,FALSE)&lt;8,"Atrativa",IF(VLOOKUP(BM124,Fundamentus!A:U,12,FALSE)&gt;8,"Supervalorizada","n/a")))))</f>
        <v>Atrativa</v>
      </c>
      <c r="ER124" s="17" t="str">
        <f>IF(VLOOKUP(BM124,Fundamentus!A:U,17,FALSE)&lt;0.1,"Fraco retorno",IF(VLOOKUP(BM124,Fundamentus!A:U,17,FALSE)&gt;0.1,"Bom retorno","n/a"))</f>
        <v>Bom retorno</v>
      </c>
      <c r="ES124" s="17" t="str">
        <f>IF(VLOOKUP(BM124,Fundamentus!A:U,16,FALSE)&lt;0.1,"Ineficiente",IF(VLOOKUP(BM124,Fundamentus!A:U,16,FALSE)&gt;0.1,"Eficiente","n/a"))</f>
        <v>Ineficiente</v>
      </c>
      <c r="ET124" s="33" t="str">
        <f>IF(VLOOKUP(BM124,Fundamentus!A:U,16,FALSE)&lt;0.1,"Oper. Ineficiente",IF(VLOOKUP(BM124,Fundamentus!A:U,16,FALSE)&gt;0.1,"Oper.Eficiente","n/a"))</f>
        <v>Oper. Ineficiente</v>
      </c>
      <c r="EU124" s="34">
        <f>VLOOKUP(BM124,Fundamentus!A:U,14,FALSE)</f>
        <v>0.34129999999999999</v>
      </c>
      <c r="EV124" s="17" t="str">
        <f>IF(VLOOKUP(BM124,Fundamentus!A:U,21,FALSE)&lt;0,"Negativo",IF(VLOOKUP(BM124,Fundamentus!A:U,21,FALSE)&lt;0.05,"Fraco",IF(VLOOKUP(BM124,Fundamentus!A:U,21,FALSE)&lt;0.1,"Bom",IF(VLOOKUP(BM124,Fundamentus!A:U,21,FALSE)&gt;0.1,"Muito bom","n/a"))))</f>
        <v>Bom</v>
      </c>
      <c r="EX124" s="29" t="str">
        <f>IF(VLOOKUP(BM124,Fundamentus!A:U,15,FALSE)&gt;1,"Bom",IF(VLOOKUP(BM124,Fundamentus!A:U,15,FALSE)&lt;1,"Ruim","n/a"))</f>
        <v>Bom</v>
      </c>
      <c r="EY124" s="17" t="str">
        <f>IF(VLOOKUP(BM124,Fundamentus!A:U,20,FALSE)&lt;0.5,"Baixa",IF(VLOOKUP(BM124,Fundamentus!A:U,20,FALSE)&lt;1,"Moderada",IF(VLOOKUP(BM124,Fundamentus!A:U,20,FALSE)&lt;2,"Alerta",IF(VLOOKUP(BM124,Fundamentus!A:U,20,FALSE)&gt;2,"Alta","n/a"))))</f>
        <v>Moderada</v>
      </c>
      <c r="EZ124" s="10">
        <v>3</v>
      </c>
    </row>
    <row r="125" spans="1:156" s="2" customFormat="1" ht="11.25" x14ac:dyDescent="0.2">
      <c r="A125" s="4">
        <v>17.079999999999998</v>
      </c>
      <c r="B125" s="4">
        <v>17.21</v>
      </c>
      <c r="C125" s="4">
        <v>16.48</v>
      </c>
      <c r="D125" s="4">
        <v>15.4</v>
      </c>
      <c r="E125" s="4">
        <v>14.81</v>
      </c>
      <c r="F125" s="4">
        <v>15.1</v>
      </c>
      <c r="G125" s="4">
        <v>14.8</v>
      </c>
      <c r="H125" s="4">
        <v>15.11</v>
      </c>
      <c r="I125" s="4">
        <v>15.54</v>
      </c>
      <c r="J125" s="4">
        <v>15.7</v>
      </c>
      <c r="K125" s="4">
        <v>15.95</v>
      </c>
      <c r="L125" s="4">
        <v>15.07</v>
      </c>
      <c r="M125" s="4">
        <v>15.3</v>
      </c>
      <c r="N125" s="4">
        <v>14.89</v>
      </c>
      <c r="O125" s="4">
        <v>16.53</v>
      </c>
      <c r="P125" s="4">
        <v>13.84</v>
      </c>
      <c r="Q125" s="4">
        <v>13.75</v>
      </c>
      <c r="R125" s="4">
        <v>13.55</v>
      </c>
      <c r="S125" s="4">
        <v>13.6</v>
      </c>
      <c r="T125" s="4">
        <v>14.25</v>
      </c>
      <c r="U125" s="4">
        <v>13.63</v>
      </c>
      <c r="V125" s="4">
        <v>14</v>
      </c>
      <c r="W125" s="4">
        <v>14.84</v>
      </c>
      <c r="X125" s="4">
        <v>14.9</v>
      </c>
      <c r="Y125" s="4">
        <v>14.39</v>
      </c>
      <c r="Z125" s="4">
        <v>14.06</v>
      </c>
      <c r="AA125" s="4">
        <v>13.62</v>
      </c>
      <c r="AB125" s="4">
        <v>14.48</v>
      </c>
      <c r="AC125" s="4">
        <v>14.38</v>
      </c>
      <c r="AD125" s="4">
        <v>14.25</v>
      </c>
      <c r="AE125" s="4">
        <v>13.88</v>
      </c>
      <c r="AF125" s="4">
        <v>14.21</v>
      </c>
      <c r="AG125" s="4">
        <v>12.78</v>
      </c>
      <c r="AH125" s="4">
        <v>13.12</v>
      </c>
      <c r="AI125" s="4">
        <v>12.88</v>
      </c>
      <c r="AJ125" s="4">
        <v>12.42</v>
      </c>
      <c r="AK125" s="4">
        <v>12.6</v>
      </c>
      <c r="AL125" s="4">
        <v>12.41</v>
      </c>
      <c r="AM125" s="4">
        <v>12.08</v>
      </c>
      <c r="AN125" s="4">
        <v>12.62</v>
      </c>
      <c r="AO125" s="4">
        <v>12.49</v>
      </c>
      <c r="AP125" s="4">
        <v>13.53</v>
      </c>
      <c r="AQ125" s="4">
        <v>13.86</v>
      </c>
      <c r="AR125" s="4">
        <v>12.93</v>
      </c>
      <c r="AS125" s="4">
        <v>13.37</v>
      </c>
      <c r="AT125" s="4">
        <v>9.5</v>
      </c>
      <c r="AU125" s="4">
        <v>9.6449999999999996</v>
      </c>
      <c r="AV125" s="4">
        <v>10.45</v>
      </c>
      <c r="AW125" s="4">
        <v>9.15</v>
      </c>
      <c r="AX125" s="4">
        <v>9.3699999999999992</v>
      </c>
      <c r="AY125" s="12">
        <v>9.34</v>
      </c>
      <c r="AZ125" s="12">
        <v>9.9700000000000006</v>
      </c>
      <c r="BA125" s="12">
        <v>9.51</v>
      </c>
      <c r="BB125" s="15">
        <v>9.2899999999999991</v>
      </c>
      <c r="BC125" s="52">
        <v>10.36</v>
      </c>
      <c r="BD125" s="52">
        <v>10.31</v>
      </c>
      <c r="BE125" s="52">
        <v>10.47</v>
      </c>
      <c r="BF125" s="52">
        <v>10.54</v>
      </c>
      <c r="BG125" s="67">
        <v>10.24</v>
      </c>
      <c r="BH125" s="52">
        <v>10.5</v>
      </c>
      <c r="BI125" s="52">
        <v>10.87</v>
      </c>
      <c r="BJ125" s="52">
        <v>10.51</v>
      </c>
      <c r="BK125" s="52">
        <v>9.7899999999999991</v>
      </c>
      <c r="BL125" s="52" cm="1">
        <f t="array" aca="1" ref="BL125" ca="1">_FV(EC125,"Preço")</f>
        <v>9.7899999999999991</v>
      </c>
      <c r="BM125" s="69" t="s">
        <v>121</v>
      </c>
      <c r="BN125" s="36" cm="1">
        <f t="array" aca="1" ref="BN125" ca="1">_FV(EC125,"Média de volume",TRUE)</f>
        <v>5378070</v>
      </c>
      <c r="BO125" s="36">
        <v>7485700</v>
      </c>
      <c r="BP125" s="36" cm="1">
        <f t="array" aca="1" ref="BP125" ca="1">_FV(EC125,"Volume")</f>
        <v>7485700</v>
      </c>
      <c r="BQ125" s="24" cm="1">
        <f t="array" aca="1" ref="BQ125" ca="1">_FV(EC125,"Beta")</f>
        <v>1.1535</v>
      </c>
      <c r="BR125" s="71" cm="1">
        <f t="array" aca="1" ref="BR125" ca="1">_FV(EC125,"Variação (%)",TRUE)</f>
        <v>-3.0693000000000002E-2</v>
      </c>
      <c r="BT125" s="17" cm="1">
        <f t="array" aca="1" ref="BT125" ca="1">_FV(EC125,"Baixo")</f>
        <v>9.7100000000000009</v>
      </c>
      <c r="BU125" s="17" cm="1">
        <f t="array" aca="1" ref="BU125" ca="1">_FV(EC125,"Alto")</f>
        <v>10.07</v>
      </c>
      <c r="BV125" s="24"/>
      <c r="BW125" s="63" t="e">
        <f ca="1">SQRT(22.5*(BL125/VLOOKUP(BM125,Fundamentus!A:U,3,FALSE))*(BL125/VLOOKUP(BM125,Fundamentus!A:U,4,FALSE)))</f>
        <v>#NUM!</v>
      </c>
      <c r="BY125" s="62">
        <f t="shared" ca="1" si="112"/>
        <v>0</v>
      </c>
      <c r="BZ125" s="8"/>
      <c r="CA125" s="61">
        <f t="shared" si="113"/>
        <v>9.15</v>
      </c>
      <c r="CB125" s="61">
        <f t="shared" si="114"/>
        <v>17.21</v>
      </c>
      <c r="CC125" s="61">
        <f t="shared" si="115"/>
        <v>13.039761904761903</v>
      </c>
      <c r="CD125" s="14"/>
      <c r="CE125" s="35">
        <f t="shared" si="98"/>
        <v>9.629733671726008</v>
      </c>
      <c r="CF125" s="15">
        <f t="shared" si="116"/>
        <v>10.29300000000012</v>
      </c>
      <c r="CG125" s="35">
        <f t="shared" si="99"/>
        <v>10.956266328274232</v>
      </c>
      <c r="CI125" s="14"/>
      <c r="CJ125" s="17">
        <f t="shared" si="100"/>
        <v>-0.69000000000000306</v>
      </c>
      <c r="CK125" s="17">
        <f t="shared" si="101"/>
        <v>4.2299999999999986</v>
      </c>
      <c r="CL125" s="17">
        <f t="shared" si="102"/>
        <v>7.3699999999999974</v>
      </c>
      <c r="CM125" s="38">
        <f t="shared" si="117"/>
        <v>12.29</v>
      </c>
      <c r="CN125" s="17">
        <f t="shared" si="103"/>
        <v>15.429999999999998</v>
      </c>
      <c r="CO125" s="17">
        <f t="shared" si="104"/>
        <v>20.350000000000001</v>
      </c>
      <c r="CP125" s="17">
        <f t="shared" si="105"/>
        <v>23.49</v>
      </c>
      <c r="CQ125" s="2" cm="1">
        <f t="array" aca="1" ref="CQ125" ca="1">MAX(_xlfn._xlws.FILTER(CJ125:CP125,CJ125:CP125&lt;BL125))</f>
        <v>7.3699999999999974</v>
      </c>
      <c r="CR125" s="2" cm="1">
        <f t="array" aca="1" ref="CR125" ca="1">MIN(_xlfn._xlws.FILTER($CJ125:$CP125,$CJ125:$CP125&gt;BL125))</f>
        <v>12.29</v>
      </c>
      <c r="CS125" s="16">
        <f t="shared" ca="1" si="136"/>
        <v>0.66757123473541435</v>
      </c>
      <c r="CT125" s="20">
        <f t="shared" ca="1" si="137"/>
        <v>-0.33378561736770718</v>
      </c>
      <c r="CU125" s="20">
        <f t="shared" ca="1" si="138"/>
        <v>-0.22252374491180479</v>
      </c>
      <c r="CV125" s="20">
        <f t="shared" ca="1" si="139"/>
        <v>-0.13351424694708286</v>
      </c>
      <c r="CW125" s="20">
        <f t="shared" ca="1" si="140"/>
        <v>-7.4174581637268255E-2</v>
      </c>
      <c r="CX125" s="20">
        <f t="shared" ca="1" si="141"/>
        <v>-3.926889616090673E-2</v>
      </c>
      <c r="CY125" s="20">
        <f t="shared" ca="1" si="142"/>
        <v>-2.0229431355618617E-2</v>
      </c>
      <c r="CZ125" s="20">
        <f t="shared" ca="1" si="143"/>
        <v>-1.0270326688237144E-2</v>
      </c>
      <c r="DA125" s="21">
        <f t="shared" ca="1" si="144"/>
        <v>1.0270326688237144E-2</v>
      </c>
      <c r="DB125" s="21">
        <f t="shared" ca="1" si="145"/>
        <v>2.0229431355618617E-2</v>
      </c>
      <c r="DC125" s="21">
        <f t="shared" ca="1" si="146"/>
        <v>3.926889616090673E-2</v>
      </c>
      <c r="DD125" s="21">
        <f t="shared" ca="1" si="147"/>
        <v>7.4174581637268255E-2</v>
      </c>
      <c r="DE125" s="21">
        <f t="shared" ca="1" si="148"/>
        <v>0.13351424694708286</v>
      </c>
      <c r="DF125" s="21">
        <f t="shared" ca="1" si="149"/>
        <v>0.22252374491180479</v>
      </c>
      <c r="DG125" s="21">
        <f t="shared" ca="1" si="150"/>
        <v>0.33378561736770718</v>
      </c>
      <c r="DI125" s="16" cm="1">
        <f t="array" aca="1" ref="DI125" ca="1">MAX(_xlfn._xlws.FILTER(CT125:DG125,CT125:DG125&lt;BR125))</f>
        <v>-3.926889616090673E-2</v>
      </c>
      <c r="DJ125" s="16" cm="1">
        <f t="array" aca="1" ref="DJ125" ca="1">MIN(_xlfn._xlws.FILTER(CT125:DG125,CT125:DG125&gt;BR125))</f>
        <v>-2.0229431355618617E-2</v>
      </c>
      <c r="DK125" s="2" cm="1">
        <f t="array" aca="1" ref="DK125" ca="1">_FV(EC125,"Fechamento anterior",TRUE)</f>
        <v>10.1</v>
      </c>
      <c r="DL125" s="28">
        <f t="shared" ca="1" si="106"/>
        <v>0.4504237352088879</v>
      </c>
      <c r="DM125" s="15">
        <f t="shared" ca="1" si="151"/>
        <v>9.7033841487748411</v>
      </c>
      <c r="DN125" s="15">
        <f t="shared" ca="1" si="152"/>
        <v>9.8956827433082513</v>
      </c>
      <c r="DO125" s="9"/>
      <c r="DP125" s="9"/>
      <c r="DQ125" s="9"/>
      <c r="DR125" s="89">
        <v>2.5545171339563865E-2</v>
      </c>
      <c r="DS125" s="89">
        <v>2.1440034235583608E-2</v>
      </c>
      <c r="DT125" s="89">
        <v>9.9591046673814729E-3</v>
      </c>
      <c r="DU125" s="89">
        <v>1.9039464805288113E-2</v>
      </c>
      <c r="DV125" s="89">
        <f t="shared" ca="1" si="107"/>
        <v>1.9039464805288113E-2</v>
      </c>
      <c r="DW125" s="72">
        <f t="shared" ca="1" si="108"/>
        <v>-0.75836806205582485</v>
      </c>
      <c r="DX125" s="37"/>
      <c r="DY125" s="35">
        <f t="shared" si="118"/>
        <v>0.33163316413705607</v>
      </c>
      <c r="DZ125" s="56"/>
      <c r="EA125" s="56"/>
      <c r="EC125" s="2" t="e" vm="124">
        <v>#VALUE!</v>
      </c>
      <c r="EE125" s="10" cm="1">
        <f t="array" aca="1" ref="EE125" ca="1">_FV(EC125,"Ações em circulação",TRUE)</f>
        <v>1374118000</v>
      </c>
      <c r="EF125" s="18">
        <f>VLOOKUP(BM125,Fundamentus!A:U,5,FALSE)</f>
        <v>0.57699999999999996</v>
      </c>
      <c r="EG125" s="2">
        <f t="shared" ca="1" si="109"/>
        <v>23314757746.967068</v>
      </c>
      <c r="EH125" s="17">
        <v>-7700864483.8232222</v>
      </c>
      <c r="EI125" s="17">
        <f t="shared" ca="1" si="110"/>
        <v>-7700864483.8232222</v>
      </c>
      <c r="EK125" s="16">
        <f t="shared" ca="1" si="97"/>
        <v>0</v>
      </c>
      <c r="EL125" s="32" t="str">
        <f>IF(VLOOKUP(BM125,Fundamentus!A:U,3,FALSE)&lt;15,"Bom",IF(VLOOKUP(BM125,Fundamentus!A:U,3,FALSE)&gt;15,"Ruim","n/a"))</f>
        <v>Bom</v>
      </c>
      <c r="EM125" s="28" t="str">
        <f>IF(VLOOKUP(BM125,Fundamentus!A:U,4,FALSE)&lt;1,"Baixo",IF(VLOOKUP(BM125,Fundamentus!A:U,4,FALSE)&lt;1.5,"Moderado",IF(VLOOKUP(BM125,Fundamentus!A:U,4,FALSE)&gt;1.5,"Alto","n/a")))</f>
        <v>Baixo</v>
      </c>
      <c r="EN125" s="17" t="str">
        <f>IF(VLOOKUP(BM125,Fundamentus!A:U,8,FALSE)&lt;0,"Risco elevado",IF(VLOOKUP(BM125,Fundamentus!A:U,8,FALSE)&lt;1,"Saudável",IF(VLOOKUP(BM125,Fundamentus!A:U,8,FALSE)&lt;3,"Estável",IF(VLOOKUP(BM125,Fundamentus!A:U,8,FALSE)&gt;3,"Alerta","n/a"))))</f>
        <v>Estável</v>
      </c>
      <c r="EO125" s="28" t="str">
        <f t="shared" si="111"/>
        <v>Ruim</v>
      </c>
      <c r="EP125" s="17" t="str">
        <f>IF(VLOOKUP(BM125,Fundamentus!A:U,12,FALSE)&lt;2,"Subvalorizada",IF(VLOOKUP(BM125,Fundamentus!A:U,12,FALSE)&lt;6,"Muita barata",IF(VLOOKUP(BM125,Fundamentus!A:U,12,FALSE)&lt;6,"Barata",IF(VLOOKUP(BM125,Fundamentus!A:U,12,FALSE)&lt;8,"Atrativa",IF(VLOOKUP(BM125,Fundamentus!A:U,12,FALSE)&gt;8,"Supervalorizada","n/a")))))</f>
        <v>Muita barata</v>
      </c>
      <c r="ER125" s="17" t="str">
        <f>IF(VLOOKUP(BM125,Fundamentus!A:U,17,FALSE)&lt;0.1,"Fraco retorno",IF(VLOOKUP(BM125,Fundamentus!A:U,17,FALSE)&gt;0.1,"Bom retorno","n/a"))</f>
        <v>Fraco retorno</v>
      </c>
      <c r="ES125" s="17" t="str">
        <f>IF(VLOOKUP(BM125,Fundamentus!A:U,16,FALSE)&lt;0.1,"Ineficiente",IF(VLOOKUP(BM125,Fundamentus!A:U,16,FALSE)&gt;0.1,"Eficiente","n/a"))</f>
        <v>Ineficiente</v>
      </c>
      <c r="ET125" s="33" t="str">
        <f>IF(VLOOKUP(BM125,Fundamentus!A:U,16,FALSE)&lt;0.1,"Oper. Ineficiente",IF(VLOOKUP(BM125,Fundamentus!A:U,16,FALSE)&gt;0.1,"Oper.Eficiente","n/a"))</f>
        <v>Oper. Ineficiente</v>
      </c>
      <c r="EU125" s="34">
        <f>VLOOKUP(BM125,Fundamentus!A:U,14,FALSE)</f>
        <v>-0.33029999999999998</v>
      </c>
      <c r="EV125" s="17" t="str">
        <f>IF(VLOOKUP(BM125,Fundamentus!A:U,21,FALSE)&lt;0,"Negativo",IF(VLOOKUP(BM125,Fundamentus!A:U,21,FALSE)&lt;0.05,"Fraco",IF(VLOOKUP(BM125,Fundamentus!A:U,21,FALSE)&lt;0.1,"Bom",IF(VLOOKUP(BM125,Fundamentus!A:U,21,FALSE)&gt;0.1,"Muito bom","n/a"))))</f>
        <v>Negativo</v>
      </c>
      <c r="EX125" s="29" t="str">
        <f>IF(VLOOKUP(BM125,Fundamentus!A:U,15,FALSE)&gt;1,"Bom",IF(VLOOKUP(BM125,Fundamentus!A:U,15,FALSE)&lt;1,"Ruim","n/a"))</f>
        <v>Bom</v>
      </c>
      <c r="EY125" s="17" t="str">
        <f>IF(VLOOKUP(BM125,Fundamentus!A:U,20,FALSE)&lt;0.5,"Baixa",IF(VLOOKUP(BM125,Fundamentus!A:U,20,FALSE)&lt;1,"Moderada",IF(VLOOKUP(BM125,Fundamentus!A:U,20,FALSE)&lt;2,"Alerta",IF(VLOOKUP(BM125,Fundamentus!A:U,20,FALSE)&gt;2,"Alta","n/a"))))</f>
        <v>Baixa</v>
      </c>
      <c r="EZ125" s="10"/>
    </row>
    <row r="126" spans="1:156" s="2" customFormat="1" ht="11.25" x14ac:dyDescent="0.2">
      <c r="A126" s="4">
        <v>7.18</v>
      </c>
      <c r="B126" s="4">
        <v>7.34</v>
      </c>
      <c r="C126" s="4">
        <v>7.13</v>
      </c>
      <c r="D126" s="4">
        <v>6.6</v>
      </c>
      <c r="E126" s="4">
        <v>6.51</v>
      </c>
      <c r="F126" s="4">
        <v>6.38</v>
      </c>
      <c r="G126" s="4">
        <v>6.33</v>
      </c>
      <c r="H126" s="4">
        <v>6.29</v>
      </c>
      <c r="I126" s="4">
        <v>6.55</v>
      </c>
      <c r="J126" s="4">
        <v>6.73</v>
      </c>
      <c r="K126" s="4">
        <v>6.38</v>
      </c>
      <c r="L126" s="4">
        <v>6.32</v>
      </c>
      <c r="M126" s="4">
        <v>6.21</v>
      </c>
      <c r="N126" s="4">
        <v>6.19</v>
      </c>
      <c r="O126" s="4">
        <v>6.48</v>
      </c>
      <c r="P126" s="4">
        <v>6.39</v>
      </c>
      <c r="Q126" s="4">
        <v>6.56</v>
      </c>
      <c r="R126" s="4">
        <v>6.35</v>
      </c>
      <c r="S126" s="4">
        <v>6.55</v>
      </c>
      <c r="T126" s="4">
        <v>6.57</v>
      </c>
      <c r="U126" s="4">
        <v>6.24</v>
      </c>
      <c r="V126" s="4">
        <v>6.34</v>
      </c>
      <c r="W126" s="4">
        <v>7.08</v>
      </c>
      <c r="X126" s="4">
        <v>6.3</v>
      </c>
      <c r="Y126" s="4">
        <v>6.27</v>
      </c>
      <c r="Z126" s="4">
        <v>6.1</v>
      </c>
      <c r="AA126" s="4">
        <v>5.9</v>
      </c>
      <c r="AB126" s="4">
        <v>5.81</v>
      </c>
      <c r="AC126" s="4">
        <v>5.73</v>
      </c>
      <c r="AD126" s="4">
        <v>5.98</v>
      </c>
      <c r="AE126" s="4">
        <v>5.71</v>
      </c>
      <c r="AF126" s="4">
        <v>5.71</v>
      </c>
      <c r="AG126" s="4">
        <v>5.63</v>
      </c>
      <c r="AH126" s="4">
        <v>5.44</v>
      </c>
      <c r="AI126" s="4">
        <v>5.35</v>
      </c>
      <c r="AJ126" s="4">
        <v>5.46</v>
      </c>
      <c r="AK126" s="4">
        <v>5.57</v>
      </c>
      <c r="AL126" s="4">
        <v>5.6</v>
      </c>
      <c r="AM126" s="4">
        <v>5.66</v>
      </c>
      <c r="AN126" s="4">
        <v>6.14</v>
      </c>
      <c r="AO126" s="4">
        <v>5.94</v>
      </c>
      <c r="AP126" s="4">
        <v>6.06</v>
      </c>
      <c r="AQ126" s="4">
        <v>6.09</v>
      </c>
      <c r="AR126" s="4">
        <v>5.68</v>
      </c>
      <c r="AS126" s="4">
        <v>6.08</v>
      </c>
      <c r="AT126" s="4">
        <v>6.95</v>
      </c>
      <c r="AU126" s="4">
        <v>6.72</v>
      </c>
      <c r="AV126" s="4">
        <v>6.18</v>
      </c>
      <c r="AW126" s="4">
        <v>5.69</v>
      </c>
      <c r="AX126" s="4">
        <v>5.6</v>
      </c>
      <c r="AY126" s="12">
        <v>5.83</v>
      </c>
      <c r="AZ126" s="12">
        <v>5.81</v>
      </c>
      <c r="BA126" s="12">
        <v>5.75</v>
      </c>
      <c r="BB126" s="15">
        <v>5.97</v>
      </c>
      <c r="BC126" s="52">
        <v>6.36</v>
      </c>
      <c r="BD126" s="52">
        <v>6.6</v>
      </c>
      <c r="BE126" s="52">
        <v>7.19</v>
      </c>
      <c r="BF126" s="52">
        <v>7.49</v>
      </c>
      <c r="BG126" s="67">
        <v>7.11</v>
      </c>
      <c r="BH126" s="52">
        <v>7.33</v>
      </c>
      <c r="BI126" s="52">
        <v>7.34</v>
      </c>
      <c r="BJ126" s="52">
        <v>7.31</v>
      </c>
      <c r="BK126" s="52">
        <v>7.22</v>
      </c>
      <c r="BL126" s="52" cm="1">
        <f t="array" aca="1" ref="BL126" ca="1">_FV(EC126,"Preço")</f>
        <v>7.22</v>
      </c>
      <c r="BM126" s="69" t="s">
        <v>122</v>
      </c>
      <c r="BN126" s="36" cm="1">
        <f t="array" aca="1" ref="BN126" ca="1">_FV(EC126,"Média de volume",TRUE)</f>
        <v>437920</v>
      </c>
      <c r="BO126" s="36">
        <v>408000</v>
      </c>
      <c r="BP126" s="36" cm="1">
        <f t="array" aca="1" ref="BP126" ca="1">_FV(EC126,"Volume")</f>
        <v>408000</v>
      </c>
      <c r="BQ126" s="24" cm="1">
        <f t="array" aca="1" ref="BQ126" ca="1">_FV(EC126,"Beta")</f>
        <v>1.4634</v>
      </c>
      <c r="BR126" s="71" cm="1">
        <f t="array" aca="1" ref="BR126" ca="1">_FV(EC126,"Variação (%)",TRUE)</f>
        <v>-4.1380000000000002E-3</v>
      </c>
      <c r="BT126" s="17" cm="1">
        <f t="array" aca="1" ref="BT126" ca="1">_FV(EC126,"Baixo")</f>
        <v>7.17</v>
      </c>
      <c r="BU126" s="17" cm="1">
        <f t="array" aca="1" ref="BU126" ca="1">_FV(EC126,"Alto")</f>
        <v>7.3</v>
      </c>
      <c r="BV126" s="24"/>
      <c r="BW126" s="63">
        <f ca="1">SQRT(22.5*(BL126/VLOOKUP(BM126,Fundamentus!A:U,3,FALSE))*(BL126/VLOOKUP(BM126,Fundamentus!A:U,4,FALSE)))</f>
        <v>5.845946237572444</v>
      </c>
      <c r="BY126" s="62">
        <f t="shared" ca="1" si="112"/>
        <v>0</v>
      </c>
      <c r="BZ126" s="8"/>
      <c r="CA126" s="61">
        <f t="shared" si="113"/>
        <v>5.35</v>
      </c>
      <c r="CB126" s="61">
        <f t="shared" si="114"/>
        <v>7.49</v>
      </c>
      <c r="CC126" s="61">
        <f t="shared" si="115"/>
        <v>6.3073015873015876</v>
      </c>
      <c r="CD126" s="14"/>
      <c r="CE126" s="35">
        <f t="shared" si="98"/>
        <v>7.0493342884451424</v>
      </c>
      <c r="CF126" s="15">
        <f t="shared" si="116"/>
        <v>7.2820000000000107</v>
      </c>
      <c r="CG126" s="35">
        <f t="shared" si="99"/>
        <v>7.5146657115548789</v>
      </c>
      <c r="CI126" s="14"/>
      <c r="CJ126" s="17">
        <f t="shared" si="100"/>
        <v>3.803333333333331</v>
      </c>
      <c r="CK126" s="17">
        <f t="shared" si="101"/>
        <v>4.5766666666666653</v>
      </c>
      <c r="CL126" s="17">
        <f t="shared" si="102"/>
        <v>5.9433333333333316</v>
      </c>
      <c r="CM126" s="38">
        <f t="shared" si="117"/>
        <v>6.7166666666666659</v>
      </c>
      <c r="CN126" s="17">
        <f t="shared" si="103"/>
        <v>8.0833333333333321</v>
      </c>
      <c r="CO126" s="17">
        <f t="shared" si="104"/>
        <v>8.8566666666666656</v>
      </c>
      <c r="CP126" s="17">
        <f t="shared" si="105"/>
        <v>10.223333333333333</v>
      </c>
      <c r="CQ126" s="2" cm="1">
        <f t="array" aca="1" ref="CQ126" ca="1">MAX(_xlfn._xlws.FILTER(CJ126:CP126,CJ126:CP126&lt;BL126))</f>
        <v>6.7166666666666659</v>
      </c>
      <c r="CR126" s="2" cm="1">
        <f t="array" aca="1" ref="CR126" ca="1">MIN(_xlfn._xlws.FILTER($CJ126:$CP126,$CJ126:$CP126&gt;BL126))</f>
        <v>8.0833333333333321</v>
      </c>
      <c r="CS126" s="16">
        <f t="shared" ca="1" si="136"/>
        <v>0.2034739454094292</v>
      </c>
      <c r="CT126" s="20">
        <f t="shared" ca="1" si="137"/>
        <v>-0.1017369727047146</v>
      </c>
      <c r="CU126" s="20">
        <f t="shared" ca="1" si="138"/>
        <v>-6.7824648469809734E-2</v>
      </c>
      <c r="CV126" s="20">
        <f t="shared" ca="1" si="139"/>
        <v>-4.069478908188584E-2</v>
      </c>
      <c r="CW126" s="20">
        <f t="shared" ca="1" si="140"/>
        <v>-2.2608216156603245E-2</v>
      </c>
      <c r="CX126" s="20">
        <f t="shared" ca="1" si="141"/>
        <v>-1.1969055612319365E-2</v>
      </c>
      <c r="CY126" s="20">
        <f t="shared" ca="1" si="142"/>
        <v>-6.1658771336190665E-3</v>
      </c>
      <c r="CZ126" s="20">
        <f t="shared" ca="1" si="143"/>
        <v>-3.1303683909142954E-3</v>
      </c>
      <c r="DA126" s="21">
        <f t="shared" ca="1" si="144"/>
        <v>3.1303683909142954E-3</v>
      </c>
      <c r="DB126" s="21">
        <f t="shared" ca="1" si="145"/>
        <v>6.1658771336190665E-3</v>
      </c>
      <c r="DC126" s="21">
        <f t="shared" ca="1" si="146"/>
        <v>1.1969055612319365E-2</v>
      </c>
      <c r="DD126" s="21">
        <f t="shared" ca="1" si="147"/>
        <v>2.2608216156603245E-2</v>
      </c>
      <c r="DE126" s="21">
        <f t="shared" ca="1" si="148"/>
        <v>4.069478908188584E-2</v>
      </c>
      <c r="DF126" s="21">
        <f t="shared" ca="1" si="149"/>
        <v>6.7824648469809734E-2</v>
      </c>
      <c r="DG126" s="21">
        <f t="shared" ca="1" si="150"/>
        <v>0.1017369727047146</v>
      </c>
      <c r="DI126" s="16" cm="1">
        <f t="array" aca="1" ref="DI126" ca="1">MAX(_xlfn._xlws.FILTER(CT126:DG126,CT126:DG126&lt;BR126))</f>
        <v>-6.1658771336190665E-3</v>
      </c>
      <c r="DJ126" s="16" cm="1">
        <f t="array" aca="1" ref="DJ126" ca="1">MIN(_xlfn._xlws.FILTER(CT126:DG126,CT126:DG126&gt;BR126))</f>
        <v>-3.1303683909142954E-3</v>
      </c>
      <c r="DK126" s="2" cm="1">
        <f t="array" aca="1" ref="DK126" ca="1">_FV(EC126,"Fechamento anterior",TRUE)</f>
        <v>7.25</v>
      </c>
      <c r="DL126" s="28">
        <f t="shared" ca="1" si="106"/>
        <v>0.66807453742640566</v>
      </c>
      <c r="DM126" s="15">
        <f t="shared" ca="1" si="151"/>
        <v>7.2052973907812614</v>
      </c>
      <c r="DN126" s="15">
        <f t="shared" ca="1" si="152"/>
        <v>7.2273048291658712</v>
      </c>
      <c r="DO126" s="9"/>
      <c r="DP126" s="9"/>
      <c r="DQ126" s="9"/>
      <c r="DR126" s="89">
        <v>1.7626817626817629E-2</v>
      </c>
      <c r="DS126" s="89">
        <v>1.0221632512654177E-2</v>
      </c>
      <c r="DT126" s="89">
        <v>5.8031784787002981E-3</v>
      </c>
      <c r="DU126" s="89">
        <v>3.0355087427047711E-3</v>
      </c>
      <c r="DV126" s="89">
        <f t="shared" ca="1" si="107"/>
        <v>3.0355087427047711E-3</v>
      </c>
      <c r="DW126" s="72">
        <f t="shared" ca="1" si="108"/>
        <v>-0.26647673860352999</v>
      </c>
      <c r="DX126" s="37"/>
      <c r="DY126" s="35">
        <f t="shared" si="118"/>
        <v>0.1163328557774343</v>
      </c>
      <c r="DZ126" s="56"/>
      <c r="EA126" s="56"/>
      <c r="EC126" s="2" t="e" vm="125">
        <v>#VALUE!</v>
      </c>
      <c r="EE126" s="10" cm="1">
        <f t="array" aca="1" ref="EE126" ca="1">_FV(EC126,"Ações em circulação",TRUE)</f>
        <v>200000000</v>
      </c>
      <c r="EF126" s="18">
        <f>VLOOKUP(BM126,Fundamentus!A:U,5,FALSE)</f>
        <v>0.77100000000000002</v>
      </c>
      <c r="EG126" s="2">
        <f t="shared" ca="1" si="109"/>
        <v>1872892347.6005187</v>
      </c>
      <c r="EH126" s="17">
        <v>105818417.63942932</v>
      </c>
      <c r="EI126" s="17">
        <f t="shared" ca="1" si="110"/>
        <v>105818417.63942932</v>
      </c>
      <c r="EK126" s="16">
        <f t="shared" ca="1" si="97"/>
        <v>0</v>
      </c>
      <c r="EL126" s="32" t="str">
        <f>IF(VLOOKUP(BM126,Fundamentus!A:U,3,FALSE)&lt;15,"Bom",IF(VLOOKUP(BM126,Fundamentus!A:U,3,FALSE)&gt;15,"Ruim","n/a"))</f>
        <v>Ruim</v>
      </c>
      <c r="EM126" s="28" t="str">
        <f>IF(VLOOKUP(BM126,Fundamentus!A:U,4,FALSE)&lt;1,"Baixo",IF(VLOOKUP(BM126,Fundamentus!A:U,4,FALSE)&lt;1.5,"Moderado",IF(VLOOKUP(BM126,Fundamentus!A:U,4,FALSE)&gt;1.5,"Alto","n/a")))</f>
        <v>Baixo</v>
      </c>
      <c r="EN126" s="17" t="str">
        <f>IF(VLOOKUP(BM126,Fundamentus!A:U,8,FALSE)&lt;0,"Risco elevado",IF(VLOOKUP(BM126,Fundamentus!A:U,8,FALSE)&lt;1,"Saudável",IF(VLOOKUP(BM126,Fundamentus!A:U,8,FALSE)&lt;3,"Estável",IF(VLOOKUP(BM126,Fundamentus!A:U,8,FALSE)&gt;3,"Alerta","n/a"))))</f>
        <v>Saudável</v>
      </c>
      <c r="EO126" s="28" t="str">
        <f t="shared" si="111"/>
        <v>Ruim</v>
      </c>
      <c r="EP126" s="17" t="str">
        <f>IF(VLOOKUP(BM126,Fundamentus!A:U,12,FALSE)&lt;2,"Subvalorizada",IF(VLOOKUP(BM126,Fundamentus!A:U,12,FALSE)&lt;6,"Muita barata",IF(VLOOKUP(BM126,Fundamentus!A:U,12,FALSE)&lt;6,"Barata",IF(VLOOKUP(BM126,Fundamentus!A:U,12,FALSE)&lt;8,"Atrativa",IF(VLOOKUP(BM126,Fundamentus!A:U,12,FALSE)&gt;8,"Supervalorizada","n/a")))))</f>
        <v>Muita barata</v>
      </c>
      <c r="ER126" s="17" t="str">
        <f>IF(VLOOKUP(BM126,Fundamentus!A:U,17,FALSE)&lt;0.1,"Fraco retorno",IF(VLOOKUP(BM126,Fundamentus!A:U,17,FALSE)&gt;0.1,"Bom retorno","n/a"))</f>
        <v>Fraco retorno</v>
      </c>
      <c r="ES126" s="17" t="str">
        <f>IF(VLOOKUP(BM126,Fundamentus!A:U,16,FALSE)&lt;0.1,"Ineficiente",IF(VLOOKUP(BM126,Fundamentus!A:U,16,FALSE)&gt;0.1,"Eficiente","n/a"))</f>
        <v>Ineficiente</v>
      </c>
      <c r="ET126" s="33" t="str">
        <f>IF(VLOOKUP(BM126,Fundamentus!A:U,16,FALSE)&lt;0.1,"Oper. Ineficiente",IF(VLOOKUP(BM126,Fundamentus!A:U,16,FALSE)&gt;0.1,"Oper.Eficiente","n/a"))</f>
        <v>Oper. Ineficiente</v>
      </c>
      <c r="EU126" s="34">
        <f>VLOOKUP(BM126,Fundamentus!A:U,14,FALSE)</f>
        <v>5.6500000000000002E-2</v>
      </c>
      <c r="EV126" s="17" t="str">
        <f>IF(VLOOKUP(BM126,Fundamentus!A:U,21,FALSE)&lt;0,"Negativo",IF(VLOOKUP(BM126,Fundamentus!A:U,21,FALSE)&lt;0.05,"Fraco",IF(VLOOKUP(BM126,Fundamentus!A:U,21,FALSE)&lt;0.1,"Bom",IF(VLOOKUP(BM126,Fundamentus!A:U,21,FALSE)&gt;0.1,"Muito bom","n/a"))))</f>
        <v>Fraco</v>
      </c>
      <c r="EX126" s="29" t="str">
        <f>IF(VLOOKUP(BM126,Fundamentus!A:U,15,FALSE)&gt;1,"Bom",IF(VLOOKUP(BM126,Fundamentus!A:U,15,FALSE)&lt;1,"Ruim","n/a"))</f>
        <v>Bom</v>
      </c>
      <c r="EY126" s="17" t="str">
        <f>IF(VLOOKUP(BM126,Fundamentus!A:U,20,FALSE)&lt;0.5,"Baixa",IF(VLOOKUP(BM126,Fundamentus!A:U,20,FALSE)&lt;1,"Moderada",IF(VLOOKUP(BM126,Fundamentus!A:U,20,FALSE)&lt;2,"Alerta",IF(VLOOKUP(BM126,Fundamentus!A:U,20,FALSE)&gt;2,"Alta","n/a"))))</f>
        <v>Moderada</v>
      </c>
      <c r="EZ126" s="10"/>
    </row>
    <row r="127" spans="1:156" s="2" customFormat="1" ht="11.25" x14ac:dyDescent="0.2">
      <c r="A127" s="4">
        <v>27.99</v>
      </c>
      <c r="B127" s="4">
        <v>27.89</v>
      </c>
      <c r="C127" s="4">
        <v>28.69</v>
      </c>
      <c r="D127" s="4">
        <v>27.38</v>
      </c>
      <c r="E127" s="4">
        <v>27</v>
      </c>
      <c r="F127" s="4">
        <v>27.31</v>
      </c>
      <c r="G127" s="4">
        <v>27.14</v>
      </c>
      <c r="H127" s="4">
        <v>28.1</v>
      </c>
      <c r="I127" s="4">
        <v>28.01</v>
      </c>
      <c r="J127" s="4">
        <v>28.28</v>
      </c>
      <c r="K127" s="4">
        <v>28.68</v>
      </c>
      <c r="L127" s="4">
        <v>29.36</v>
      </c>
      <c r="M127" s="4">
        <v>29.33</v>
      </c>
      <c r="N127" s="4">
        <v>28.39</v>
      </c>
      <c r="O127" s="4">
        <v>29.64</v>
      </c>
      <c r="P127" s="4">
        <v>31.65</v>
      </c>
      <c r="Q127" s="4">
        <v>31.61</v>
      </c>
      <c r="R127" s="4">
        <v>31.81</v>
      </c>
      <c r="S127" s="4">
        <v>32.369999999999997</v>
      </c>
      <c r="T127" s="4">
        <v>32.340000000000003</v>
      </c>
      <c r="U127" s="4">
        <v>31.26</v>
      </c>
      <c r="V127" s="4">
        <v>31.91</v>
      </c>
      <c r="W127" s="4">
        <v>30.46</v>
      </c>
      <c r="X127" s="4">
        <v>30.17</v>
      </c>
      <c r="Y127" s="4">
        <v>30.13</v>
      </c>
      <c r="Z127" s="4">
        <v>30.51</v>
      </c>
      <c r="AA127" s="4">
        <v>30.03</v>
      </c>
      <c r="AB127" s="4">
        <v>30.43</v>
      </c>
      <c r="AC127" s="4">
        <v>29.88</v>
      </c>
      <c r="AD127" s="4">
        <v>29.5</v>
      </c>
      <c r="AE127" s="4">
        <v>28.52</v>
      </c>
      <c r="AF127" s="4">
        <v>28.91</v>
      </c>
      <c r="AG127" s="4">
        <v>28.21</v>
      </c>
      <c r="AH127" s="4">
        <v>27.06</v>
      </c>
      <c r="AI127" s="4">
        <v>26.95</v>
      </c>
      <c r="AJ127" s="4">
        <v>26.39</v>
      </c>
      <c r="AK127" s="4">
        <v>27.12</v>
      </c>
      <c r="AL127" s="4">
        <v>28.32</v>
      </c>
      <c r="AM127" s="4">
        <v>28.48</v>
      </c>
      <c r="AN127" s="4">
        <v>29.81</v>
      </c>
      <c r="AO127" s="4">
        <v>30</v>
      </c>
      <c r="AP127" s="4">
        <v>31.02</v>
      </c>
      <c r="AQ127" s="4">
        <v>29.1</v>
      </c>
      <c r="AR127" s="4">
        <v>28.56</v>
      </c>
      <c r="AS127" s="4">
        <v>29.2</v>
      </c>
      <c r="AT127" s="4">
        <v>30.46</v>
      </c>
      <c r="AU127" s="4">
        <v>28.395</v>
      </c>
      <c r="AV127" s="4">
        <v>28.09</v>
      </c>
      <c r="AW127" s="4">
        <v>27.61</v>
      </c>
      <c r="AX127" s="4">
        <v>28.15</v>
      </c>
      <c r="AY127" s="12">
        <v>28.67</v>
      </c>
      <c r="AZ127" s="12">
        <v>30.26</v>
      </c>
      <c r="BA127" s="12">
        <v>31.08</v>
      </c>
      <c r="BB127" s="15">
        <v>31.3</v>
      </c>
      <c r="BC127" s="52">
        <v>33.39</v>
      </c>
      <c r="BD127" s="52">
        <v>33.299999999999997</v>
      </c>
      <c r="BE127" s="52">
        <v>33.369999999999997</v>
      </c>
      <c r="BF127" s="52">
        <v>32.51</v>
      </c>
      <c r="BG127" s="67">
        <v>32.229999999999997</v>
      </c>
      <c r="BH127" s="52">
        <v>32.49</v>
      </c>
      <c r="BI127" s="52">
        <v>32.26</v>
      </c>
      <c r="BJ127" s="52">
        <v>33.68</v>
      </c>
      <c r="BK127" s="52">
        <v>31.6</v>
      </c>
      <c r="BL127" s="52" cm="1">
        <f t="array" aca="1" ref="BL127" ca="1">_FV(EC127,"Preço")</f>
        <v>31.6</v>
      </c>
      <c r="BM127" s="69" t="s">
        <v>62</v>
      </c>
      <c r="BN127" s="36" cm="1">
        <f t="array" aca="1" ref="BN127" ca="1">_FV(EC127,"Média de volume",TRUE)</f>
        <v>19034450</v>
      </c>
      <c r="BO127" s="36">
        <v>582400</v>
      </c>
      <c r="BP127" s="36" cm="1">
        <f t="array" aca="1" ref="BP127" ca="1">_FV(EC127,"Volume")</f>
        <v>582400</v>
      </c>
      <c r="BQ127" s="24" cm="1">
        <f t="array" aca="1" ref="BQ127" ca="1">_FV(EC127,"Beta")</f>
        <v>1.2730999999999999</v>
      </c>
      <c r="BR127" s="71" cm="1">
        <f t="array" aca="1" ref="BR127" ca="1">_FV(EC127,"Variação (%)",TRUE)</f>
        <v>-3.1549999999999998E-3</v>
      </c>
      <c r="BT127" s="17" cm="1">
        <f t="array" aca="1" ref="BT127" ca="1">_FV(EC127,"Baixo")</f>
        <v>31.34</v>
      </c>
      <c r="BU127" s="17" cm="1">
        <f t="array" aca="1" ref="BU127" ca="1">_FV(EC127,"Alto")</f>
        <v>31.78</v>
      </c>
      <c r="BV127" s="24"/>
      <c r="BW127" s="63">
        <f ca="1">SQRT(22.5*(BL127/VLOOKUP(BM127,Fundamentus!A:U,3,FALSE))*(BL127/VLOOKUP(BM127,Fundamentus!A:U,4,FALSE)))</f>
        <v>37.702615095015339</v>
      </c>
      <c r="BY127" s="62">
        <f t="shared" ca="1" si="112"/>
        <v>0</v>
      </c>
      <c r="BZ127" s="8"/>
      <c r="CA127" s="61">
        <f t="shared" si="113"/>
        <v>26.39</v>
      </c>
      <c r="CB127" s="61">
        <f t="shared" si="114"/>
        <v>33.68</v>
      </c>
      <c r="CC127" s="61">
        <f t="shared" si="115"/>
        <v>29.741984126984114</v>
      </c>
      <c r="CD127" s="14"/>
      <c r="CE127" s="35">
        <f t="shared" si="98"/>
        <v>31.200201935162937</v>
      </c>
      <c r="CF127" s="15">
        <f t="shared" si="116"/>
        <v>32.44500000000005</v>
      </c>
      <c r="CG127" s="35">
        <f t="shared" si="99"/>
        <v>33.689798064837163</v>
      </c>
      <c r="CI127" s="14"/>
      <c r="CJ127" s="17">
        <f t="shared" si="100"/>
        <v>21.53</v>
      </c>
      <c r="CK127" s="17">
        <f t="shared" si="101"/>
        <v>23.96</v>
      </c>
      <c r="CL127" s="17">
        <f t="shared" si="102"/>
        <v>28.82</v>
      </c>
      <c r="CM127" s="38">
        <f t="shared" si="117"/>
        <v>31.25</v>
      </c>
      <c r="CN127" s="17">
        <f t="shared" si="103"/>
        <v>36.11</v>
      </c>
      <c r="CO127" s="17">
        <f t="shared" si="104"/>
        <v>38.54</v>
      </c>
      <c r="CP127" s="17">
        <f t="shared" si="105"/>
        <v>43.4</v>
      </c>
      <c r="CQ127" s="2" cm="1">
        <f t="array" aca="1" ref="CQ127" ca="1">MAX(_xlfn._xlws.FILTER(CJ127:CP127,CJ127:CP127&lt;BL127))</f>
        <v>31.25</v>
      </c>
      <c r="CR127" s="2" cm="1">
        <f t="array" aca="1" ref="CR127" ca="1">MIN(_xlfn._xlws.FILTER($CJ127:$CP127,$CJ127:$CP127&gt;BL127))</f>
        <v>36.11</v>
      </c>
      <c r="CS127" s="16">
        <f t="shared" ca="1" si="136"/>
        <v>0.15551999999999988</v>
      </c>
      <c r="CT127" s="20">
        <f t="shared" ca="1" si="137"/>
        <v>-7.775999999999994E-2</v>
      </c>
      <c r="CU127" s="20">
        <f t="shared" ca="1" si="138"/>
        <v>-5.1839999999999962E-2</v>
      </c>
      <c r="CV127" s="20">
        <f t="shared" ca="1" si="139"/>
        <v>-3.1103999999999975E-2</v>
      </c>
      <c r="CW127" s="20">
        <f t="shared" ca="1" si="140"/>
        <v>-1.7279999999999986E-2</v>
      </c>
      <c r="CX127" s="20">
        <f t="shared" ca="1" si="141"/>
        <v>-9.1482352941176393E-3</v>
      </c>
      <c r="CY127" s="20">
        <f t="shared" ca="1" si="142"/>
        <v>-4.7127272727272695E-3</v>
      </c>
      <c r="CZ127" s="20">
        <f t="shared" ca="1" si="143"/>
        <v>-2.3926153846153828E-3</v>
      </c>
      <c r="DA127" s="21">
        <f t="shared" ca="1" si="144"/>
        <v>2.3926153846153828E-3</v>
      </c>
      <c r="DB127" s="21">
        <f t="shared" ca="1" si="145"/>
        <v>4.7127272727272695E-3</v>
      </c>
      <c r="DC127" s="21">
        <f t="shared" ca="1" si="146"/>
        <v>9.1482352941176393E-3</v>
      </c>
      <c r="DD127" s="21">
        <f t="shared" ca="1" si="147"/>
        <v>1.7279999999999986E-2</v>
      </c>
      <c r="DE127" s="21">
        <f t="shared" ca="1" si="148"/>
        <v>3.1103999999999975E-2</v>
      </c>
      <c r="DF127" s="21">
        <f t="shared" ca="1" si="149"/>
        <v>5.1839999999999962E-2</v>
      </c>
      <c r="DG127" s="21">
        <f t="shared" ca="1" si="150"/>
        <v>7.775999999999994E-2</v>
      </c>
      <c r="DI127" s="16" cm="1">
        <f t="array" aca="1" ref="DI127" ca="1">MAX(_xlfn._xlws.FILTER(CT127:DG127,CT127:DG127&lt;BR127))</f>
        <v>-4.7127272727272695E-3</v>
      </c>
      <c r="DJ127" s="16" cm="1">
        <f t="array" aca="1" ref="DJ127" ca="1">MIN(_xlfn._xlws.FILTER(CT127:DG127,CT127:DG127&gt;BR127))</f>
        <v>-2.3926153846153828E-3</v>
      </c>
      <c r="DK127" s="2" cm="1">
        <f t="array" aca="1" ref="DK127" ca="1">_FV(EC127,"Fechamento anterior",TRUE)</f>
        <v>31.7</v>
      </c>
      <c r="DL127" s="28">
        <f t="shared" ca="1" si="106"/>
        <v>0.67158534388755475</v>
      </c>
      <c r="DM127" s="15">
        <f t="shared" ca="1" si="151"/>
        <v>31.550606545454546</v>
      </c>
      <c r="DN127" s="15">
        <f t="shared" ca="1" si="152"/>
        <v>31.624154092307691</v>
      </c>
      <c r="DO127" s="9"/>
      <c r="DP127" s="9"/>
      <c r="DQ127" s="9"/>
      <c r="DR127" s="89">
        <v>3.6697539581644384E-3</v>
      </c>
      <c r="DS127" s="89">
        <v>2.0818655314905695E-3</v>
      </c>
      <c r="DT127" s="89">
        <v>4.7852307692307656E-3</v>
      </c>
      <c r="DU127" s="89">
        <v>2.3201118881118867E-3</v>
      </c>
      <c r="DV127" s="89">
        <f t="shared" ca="1" si="107"/>
        <v>2.3201118881118867E-3</v>
      </c>
      <c r="DW127" s="72">
        <f t="shared" ca="1" si="108"/>
        <v>-0.6788249627545978</v>
      </c>
      <c r="DX127" s="37"/>
      <c r="DY127" s="35">
        <f t="shared" si="118"/>
        <v>0.62239903241855654</v>
      </c>
      <c r="DZ127" s="56"/>
      <c r="EA127" s="56"/>
      <c r="EC127" s="2" t="e" vm="126">
        <v>#VALUE!</v>
      </c>
      <c r="EE127" s="10" cm="1">
        <f t="array" aca="1" ref="EE127" ca="1">_FV(EC127,"Ações em circulação",TRUE)</f>
        <v>10784550000</v>
      </c>
      <c r="EF127" s="18">
        <f>VLOOKUP(BM127,Fundamentus!A:U,5,FALSE)</f>
        <v>0</v>
      </c>
      <c r="EG127" s="2" t="e">
        <f t="shared" ca="1" si="109"/>
        <v>#DIV/0!</v>
      </c>
      <c r="EH127" s="17" t="e">
        <v>#DIV/0!</v>
      </c>
      <c r="EI127" s="17" t="e">
        <f t="shared" ca="1" si="110"/>
        <v>#DIV/0!</v>
      </c>
      <c r="EK127" s="16" t="e">
        <f t="shared" ca="1" si="97"/>
        <v>#DIV/0!</v>
      </c>
      <c r="EL127" s="32" t="str">
        <f>IF(VLOOKUP(BM127,Fundamentus!A:U,3,FALSE)&lt;15,"Bom",IF(VLOOKUP(BM127,Fundamentus!A:U,3,FALSE)&gt;15,"Ruim","n/a"))</f>
        <v>Bom</v>
      </c>
      <c r="EM127" s="28" t="str">
        <f>IF(VLOOKUP(BM127,Fundamentus!A:U,4,FALSE)&lt;1,"Baixo",IF(VLOOKUP(BM127,Fundamentus!A:U,4,FALSE)&lt;1.5,"Moderado",IF(VLOOKUP(BM127,Fundamentus!A:U,4,FALSE)&gt;1.5,"Alto","n/a")))</f>
        <v>Alto</v>
      </c>
      <c r="EN127" s="17" t="str">
        <f>IF(VLOOKUP(BM127,Fundamentus!A:U,8,FALSE)&lt;0,"Risco elevado",IF(VLOOKUP(BM127,Fundamentus!A:U,8,FALSE)&lt;1,"Saudável",IF(VLOOKUP(BM127,Fundamentus!A:U,8,FALSE)&lt;3,"Estável",IF(VLOOKUP(BM127,Fundamentus!A:U,8,FALSE)&gt;3,"Alerta","n/a"))))</f>
        <v>Saudável</v>
      </c>
      <c r="EO127" s="28" t="str">
        <f t="shared" si="111"/>
        <v>Ruim</v>
      </c>
      <c r="EP127" s="17" t="str">
        <f>IF(VLOOKUP(BM127,Fundamentus!A:U,12,FALSE)&lt;2,"Subvalorizada",IF(VLOOKUP(BM127,Fundamentus!A:U,12,FALSE)&lt;6,"Muita barata",IF(VLOOKUP(BM127,Fundamentus!A:U,12,FALSE)&lt;6,"Barata",IF(VLOOKUP(BM127,Fundamentus!A:U,12,FALSE)&lt;8,"Atrativa",IF(VLOOKUP(BM127,Fundamentus!A:U,12,FALSE)&gt;8,"Supervalorizada","n/a")))))</f>
        <v>Subvalorizada</v>
      </c>
      <c r="ER127" s="17" t="str">
        <f>IF(VLOOKUP(BM127,Fundamentus!A:U,17,FALSE)&lt;0.1,"Fraco retorno",IF(VLOOKUP(BM127,Fundamentus!A:U,17,FALSE)&gt;0.1,"Bom retorno","n/a"))</f>
        <v>Bom retorno</v>
      </c>
      <c r="ES127" s="17" t="str">
        <f>IF(VLOOKUP(BM127,Fundamentus!A:U,16,FALSE)&lt;0.1,"Ineficiente",IF(VLOOKUP(BM127,Fundamentus!A:U,16,FALSE)&gt;0.1,"Eficiente","n/a"))</f>
        <v>Ineficiente</v>
      </c>
      <c r="ET127" s="33" t="str">
        <f>IF(VLOOKUP(BM127,Fundamentus!A:U,16,FALSE)&lt;0.1,"Oper. Ineficiente",IF(VLOOKUP(BM127,Fundamentus!A:U,16,FALSE)&gt;0.1,"Oper.Eficiente","n/a"))</f>
        <v>Oper. Ineficiente</v>
      </c>
      <c r="EU127" s="34">
        <f>VLOOKUP(BM127,Fundamentus!A:U,14,FALSE)</f>
        <v>0</v>
      </c>
      <c r="EV127" s="17" t="str">
        <f>IF(VLOOKUP(BM127,Fundamentus!A:U,21,FALSE)&lt;0,"Negativo",IF(VLOOKUP(BM127,Fundamentus!A:U,21,FALSE)&lt;0.05,"Fraco",IF(VLOOKUP(BM127,Fundamentus!A:U,21,FALSE)&lt;0.1,"Bom",IF(VLOOKUP(BM127,Fundamentus!A:U,21,FALSE)&gt;0.1,"Muito bom","n/a"))))</f>
        <v>Muito bom</v>
      </c>
      <c r="EX127" s="29" t="str">
        <f>IF(VLOOKUP(BM127,Fundamentus!A:U,15,FALSE)&gt;1,"Bom",IF(VLOOKUP(BM127,Fundamentus!A:U,15,FALSE)&lt;1,"Ruim","n/a"))</f>
        <v>Ruim</v>
      </c>
      <c r="EY127" s="17" t="str">
        <f>IF(VLOOKUP(BM127,Fundamentus!A:U,20,FALSE)&lt;0.5,"Baixa",IF(VLOOKUP(BM127,Fundamentus!A:U,20,FALSE)&lt;1,"Moderada",IF(VLOOKUP(BM127,Fundamentus!A:U,20,FALSE)&lt;2,"Alerta",IF(VLOOKUP(BM127,Fundamentus!A:U,20,FALSE)&gt;2,"Alta","n/a"))))</f>
        <v>Baixa</v>
      </c>
      <c r="EZ127" s="10"/>
    </row>
    <row r="128" spans="1:156" s="2" customFormat="1" ht="11.25" x14ac:dyDescent="0.2">
      <c r="A128" s="4">
        <v>2.44</v>
      </c>
      <c r="B128" s="4">
        <v>2.4700000000000002</v>
      </c>
      <c r="C128" s="4">
        <v>2.38</v>
      </c>
      <c r="D128" s="4">
        <v>2.33</v>
      </c>
      <c r="E128" s="4">
        <v>2.27</v>
      </c>
      <c r="F128" s="4">
        <v>2.17</v>
      </c>
      <c r="G128" s="4">
        <v>2.16</v>
      </c>
      <c r="H128" s="4">
        <v>2.13</v>
      </c>
      <c r="I128" s="4">
        <v>2.15</v>
      </c>
      <c r="J128" s="4">
        <v>2.21</v>
      </c>
      <c r="K128" s="4">
        <v>2.38</v>
      </c>
      <c r="L128" s="4">
        <v>2.27</v>
      </c>
      <c r="M128" s="4">
        <v>2.31</v>
      </c>
      <c r="N128" s="4">
        <v>2.2400000000000002</v>
      </c>
      <c r="O128" s="4">
        <v>2.2200000000000002</v>
      </c>
      <c r="P128" s="4">
        <v>2.29</v>
      </c>
      <c r="Q128" s="4">
        <v>2.2400000000000002</v>
      </c>
      <c r="R128" s="4">
        <v>2.3199999999999998</v>
      </c>
      <c r="S128" s="4">
        <v>2.2200000000000002</v>
      </c>
      <c r="T128" s="4">
        <v>2.25</v>
      </c>
      <c r="U128" s="4">
        <v>2.19</v>
      </c>
      <c r="V128" s="4">
        <v>2.17</v>
      </c>
      <c r="W128" s="4">
        <v>2.17</v>
      </c>
      <c r="X128" s="4">
        <v>2.13</v>
      </c>
      <c r="Y128" s="4">
        <v>2.14</v>
      </c>
      <c r="Z128" s="4">
        <v>2.1800000000000002</v>
      </c>
      <c r="AA128" s="4">
        <v>2.13</v>
      </c>
      <c r="AB128" s="4">
        <v>2.17</v>
      </c>
      <c r="AC128" s="4">
        <v>2.15</v>
      </c>
      <c r="AD128" s="4">
        <v>2.1</v>
      </c>
      <c r="AE128" s="4">
        <v>2.08</v>
      </c>
      <c r="AF128" s="4">
        <v>2</v>
      </c>
      <c r="AG128" s="4">
        <v>1.89</v>
      </c>
      <c r="AH128" s="4">
        <v>1.79</v>
      </c>
      <c r="AI128" s="4">
        <v>1.8</v>
      </c>
      <c r="AJ128" s="4">
        <v>1.81</v>
      </c>
      <c r="AK128" s="4">
        <v>1.79</v>
      </c>
      <c r="AL128" s="4">
        <v>1.86</v>
      </c>
      <c r="AM128" s="4">
        <v>1.77</v>
      </c>
      <c r="AN128" s="4">
        <v>1.56</v>
      </c>
      <c r="AO128" s="4">
        <v>1.47</v>
      </c>
      <c r="AP128" s="4">
        <v>1.44</v>
      </c>
      <c r="AQ128" s="4">
        <v>1.41</v>
      </c>
      <c r="AR128" s="4">
        <v>1.44</v>
      </c>
      <c r="AS128" s="4">
        <v>1.46</v>
      </c>
      <c r="AT128" s="4">
        <v>1.54</v>
      </c>
      <c r="AU128" s="4">
        <v>1.5049999999999999</v>
      </c>
      <c r="AV128" s="4">
        <v>1.47</v>
      </c>
      <c r="AW128" s="4">
        <v>1.47</v>
      </c>
      <c r="AX128" s="4">
        <v>1.53</v>
      </c>
      <c r="AY128" s="12">
        <v>1.62</v>
      </c>
      <c r="AZ128" s="12">
        <v>1.58</v>
      </c>
      <c r="BA128" s="12">
        <v>1.68</v>
      </c>
      <c r="BB128" s="15">
        <v>1.68</v>
      </c>
      <c r="BC128" s="52">
        <v>1.47</v>
      </c>
      <c r="BD128" s="52">
        <v>1.5</v>
      </c>
      <c r="BE128" s="52">
        <v>1.55</v>
      </c>
      <c r="BF128" s="52">
        <v>1.53</v>
      </c>
      <c r="BG128" s="67">
        <v>1.5</v>
      </c>
      <c r="BH128" s="52">
        <v>1.49</v>
      </c>
      <c r="BI128" s="52">
        <v>1.42</v>
      </c>
      <c r="BJ128" s="52">
        <v>1.45</v>
      </c>
      <c r="BK128" s="52">
        <v>1.41</v>
      </c>
      <c r="BL128" s="52" cm="1">
        <f t="array" aca="1" ref="BL128" ca="1">_FV(EC128,"Preço")</f>
        <v>1.41</v>
      </c>
      <c r="BM128" s="69" t="s">
        <v>124</v>
      </c>
      <c r="BN128" s="36" cm="1">
        <f t="array" aca="1" ref="BN128" ca="1">_FV(EC128,"Média de volume",TRUE)</f>
        <v>39260</v>
      </c>
      <c r="BO128" s="36">
        <v>5900</v>
      </c>
      <c r="BP128" s="36" cm="1">
        <f t="array" aca="1" ref="BP128" ca="1">_FV(EC128,"Volume")</f>
        <v>5900</v>
      </c>
      <c r="BQ128" s="24" cm="1">
        <f t="array" aca="1" ref="BQ128" ca="1">_FV(EC128,"Beta")</f>
        <v>0.4577</v>
      </c>
      <c r="BR128" s="71" cm="1">
        <f t="array" aca="1" ref="BR128" ca="1">_FV(EC128,"Variação (%)",TRUE)</f>
        <v>7.143E-3</v>
      </c>
      <c r="BT128" s="17" cm="1">
        <f t="array" aca="1" ref="BT128" ca="1">_FV(EC128,"Baixo")</f>
        <v>1.39</v>
      </c>
      <c r="BU128" s="17" cm="1">
        <f t="array" aca="1" ref="BU128" ca="1">_FV(EC128,"Alto")</f>
        <v>1.41</v>
      </c>
      <c r="BV128" s="24"/>
      <c r="BW128" s="63">
        <f ca="1">SQRT(22.5*(BL128/VLOOKUP(BM128,Fundamentus!A:U,3,FALSE))*(BL128/VLOOKUP(BM128,Fundamentus!A:U,4,FALSE)))</f>
        <v>1.8959347671575031</v>
      </c>
      <c r="BY128" s="62">
        <f t="shared" ca="1" si="112"/>
        <v>0</v>
      </c>
      <c r="BZ128" s="8"/>
      <c r="CA128" s="61">
        <f t="shared" si="113"/>
        <v>1.41</v>
      </c>
      <c r="CB128" s="61">
        <f t="shared" si="114"/>
        <v>2.4700000000000002</v>
      </c>
      <c r="CC128" s="61">
        <f t="shared" si="115"/>
        <v>1.903888888888889</v>
      </c>
      <c r="CD128" s="14"/>
      <c r="CE128" s="35">
        <f t="shared" si="98"/>
        <v>1.3450773012639525</v>
      </c>
      <c r="CF128" s="15">
        <f t="shared" si="116"/>
        <v>1.4319999999999879</v>
      </c>
      <c r="CG128" s="35">
        <f t="shared" si="99"/>
        <v>1.5189226987360234</v>
      </c>
      <c r="CI128" s="14"/>
      <c r="CJ128" s="17">
        <f t="shared" si="100"/>
        <v>2.3333333333332762E-2</v>
      </c>
      <c r="CK128" s="17">
        <f t="shared" si="101"/>
        <v>0.71666666666666634</v>
      </c>
      <c r="CL128" s="17">
        <f t="shared" si="102"/>
        <v>1.083333333333333</v>
      </c>
      <c r="CM128" s="38">
        <f t="shared" si="117"/>
        <v>1.7766666666666666</v>
      </c>
      <c r="CN128" s="17">
        <f t="shared" si="103"/>
        <v>2.1433333333333335</v>
      </c>
      <c r="CO128" s="17">
        <f t="shared" si="104"/>
        <v>2.8366666666666669</v>
      </c>
      <c r="CP128" s="17">
        <f t="shared" si="105"/>
        <v>3.2033333333333336</v>
      </c>
      <c r="CQ128" s="2" cm="1">
        <f t="array" aca="1" ref="CQ128" ca="1">MAX(_xlfn._xlws.FILTER(CJ128:CP128,CJ128:CP128&lt;BL128))</f>
        <v>1.083333333333333</v>
      </c>
      <c r="CR128" s="2" cm="1">
        <f t="array" aca="1" ref="CR128" ca="1">MIN(_xlfn._xlws.FILTER($CJ128:$CP128,$CJ128:$CP128&gt;BL128))</f>
        <v>1.7766666666666666</v>
      </c>
      <c r="CS128" s="16">
        <f t="shared" ca="1" si="136"/>
        <v>0.64000000000000035</v>
      </c>
      <c r="CT128" s="20">
        <f t="shared" ca="1" si="137"/>
        <v>-0.32000000000000017</v>
      </c>
      <c r="CU128" s="20">
        <f t="shared" ca="1" si="138"/>
        <v>-0.21333333333333346</v>
      </c>
      <c r="CV128" s="20">
        <f t="shared" ca="1" si="139"/>
        <v>-0.12800000000000006</v>
      </c>
      <c r="CW128" s="20">
        <f t="shared" ca="1" si="140"/>
        <v>-7.1111111111111153E-2</v>
      </c>
      <c r="CX128" s="20">
        <f t="shared" ca="1" si="141"/>
        <v>-3.7647058823529429E-2</v>
      </c>
      <c r="CY128" s="20">
        <f t="shared" ca="1" si="142"/>
        <v>-1.9393939393939404E-2</v>
      </c>
      <c r="CZ128" s="20">
        <f t="shared" ca="1" si="143"/>
        <v>-9.8461538461538517E-3</v>
      </c>
      <c r="DA128" s="21">
        <f t="shared" ca="1" si="144"/>
        <v>9.8461538461538517E-3</v>
      </c>
      <c r="DB128" s="21">
        <f t="shared" ca="1" si="145"/>
        <v>1.9393939393939404E-2</v>
      </c>
      <c r="DC128" s="21">
        <f t="shared" ca="1" si="146"/>
        <v>3.7647058823529429E-2</v>
      </c>
      <c r="DD128" s="21">
        <f t="shared" ca="1" si="147"/>
        <v>7.1111111111111153E-2</v>
      </c>
      <c r="DE128" s="21">
        <f t="shared" ca="1" si="148"/>
        <v>0.12800000000000006</v>
      </c>
      <c r="DF128" s="21">
        <f t="shared" ca="1" si="149"/>
        <v>0.21333333333333346</v>
      </c>
      <c r="DG128" s="21">
        <f t="shared" ca="1" si="150"/>
        <v>0.32000000000000017</v>
      </c>
      <c r="DI128" s="16" cm="1">
        <f t="array" aca="1" ref="DI128" ca="1">MAX(_xlfn._xlws.FILTER(CT128:DG128,CT128:DG128&lt;BR128))</f>
        <v>-9.8461538461538517E-3</v>
      </c>
      <c r="DJ128" s="16" cm="1">
        <f t="array" aca="1" ref="DJ128" ca="1">MIN(_xlfn._xlws.FILTER(CT128:DG128,CT128:DG128&gt;BR128))</f>
        <v>9.8461538461538517E-3</v>
      </c>
      <c r="DK128" s="2" cm="1">
        <f t="array" aca="1" ref="DK128" ca="1">_FV(EC128,"Fechamento anterior",TRUE)</f>
        <v>1.4</v>
      </c>
      <c r="DL128" s="28">
        <f t="shared" ca="1" si="106"/>
        <v>0.8627232142857173</v>
      </c>
      <c r="DM128" s="15">
        <f t="shared" ca="1" si="151"/>
        <v>1.3862153846153846</v>
      </c>
      <c r="DN128" s="15">
        <f t="shared" ca="1" si="152"/>
        <v>1.4137846153846152</v>
      </c>
      <c r="DO128" s="9"/>
      <c r="DP128" s="9"/>
      <c r="DQ128" s="9"/>
      <c r="DR128" s="89">
        <v>1.8983389534157621E-2</v>
      </c>
      <c r="DS128" s="89">
        <v>1.864523536165329E-2</v>
      </c>
      <c r="DT128" s="89">
        <v>1.9692307692307703E-2</v>
      </c>
      <c r="DU128" s="89">
        <v>1.9692307692307703E-2</v>
      </c>
      <c r="DV128" s="89">
        <f t="shared" ca="1" si="107"/>
        <v>1.9692307692307703E-2</v>
      </c>
      <c r="DW128" s="72">
        <f t="shared" ca="1" si="108"/>
        <v>-0.25309844631949424</v>
      </c>
      <c r="DX128" s="37"/>
      <c r="DY128" s="35">
        <f t="shared" si="118"/>
        <v>4.3461349368017696E-2</v>
      </c>
      <c r="DZ128" s="56"/>
      <c r="EA128" s="56"/>
      <c r="EC128" s="2" t="e" vm="127">
        <v>#VALUE!</v>
      </c>
      <c r="EE128" s="10" cm="1">
        <f t="array" aca="1" ref="EE128" ca="1">_FV(EC128,"Ações em circulação",TRUE)</f>
        <v>66086360</v>
      </c>
      <c r="EF128" s="18">
        <f>VLOOKUP(BM128,Fundamentus!A:U,5,FALSE)</f>
        <v>0.44600000000000001</v>
      </c>
      <c r="EG128" s="2">
        <f t="shared" ca="1" si="109"/>
        <v>208927730.04484302</v>
      </c>
      <c r="EH128" s="17">
        <v>3969626.8708520173</v>
      </c>
      <c r="EI128" s="17">
        <f t="shared" ca="1" si="110"/>
        <v>3969626.8708520173</v>
      </c>
      <c r="EK128" s="16">
        <f t="shared" ca="1" si="97"/>
        <v>0</v>
      </c>
      <c r="EL128" s="32" t="str">
        <f>IF(VLOOKUP(BM128,Fundamentus!A:U,3,FALSE)&lt;15,"Bom",IF(VLOOKUP(BM128,Fundamentus!A:U,3,FALSE)&gt;15,"Ruim","n/a"))</f>
        <v>Ruim</v>
      </c>
      <c r="EM128" s="28" t="str">
        <f>IF(VLOOKUP(BM128,Fundamentus!A:U,4,FALSE)&lt;1,"Baixo",IF(VLOOKUP(BM128,Fundamentus!A:U,4,FALSE)&lt;1.5,"Moderado",IF(VLOOKUP(BM128,Fundamentus!A:U,4,FALSE)&gt;1.5,"Alto","n/a")))</f>
        <v>Baixo</v>
      </c>
      <c r="EN128" s="17" t="str">
        <f>IF(VLOOKUP(BM128,Fundamentus!A:U,8,FALSE)&lt;0,"Risco elevado",IF(VLOOKUP(BM128,Fundamentus!A:U,8,FALSE)&lt;1,"Saudável",IF(VLOOKUP(BM128,Fundamentus!A:U,8,FALSE)&lt;3,"Estável",IF(VLOOKUP(BM128,Fundamentus!A:U,8,FALSE)&gt;3,"Alerta","n/a"))))</f>
        <v>Alerta</v>
      </c>
      <c r="EO128" s="28" t="str">
        <f t="shared" si="111"/>
        <v>Ruim</v>
      </c>
      <c r="EP128" s="17" t="str">
        <f>IF(VLOOKUP(BM128,Fundamentus!A:U,12,FALSE)&lt;2,"Subvalorizada",IF(VLOOKUP(BM128,Fundamentus!A:U,12,FALSE)&lt;6,"Muita barata",IF(VLOOKUP(BM128,Fundamentus!A:U,12,FALSE)&lt;6,"Barata",IF(VLOOKUP(BM128,Fundamentus!A:U,12,FALSE)&lt;8,"Atrativa",IF(VLOOKUP(BM128,Fundamentus!A:U,12,FALSE)&gt;8,"Supervalorizada","n/a")))))</f>
        <v>Supervalorizada</v>
      </c>
      <c r="ER128" s="17" t="str">
        <f>IF(VLOOKUP(BM128,Fundamentus!A:U,17,FALSE)&lt;0.1,"Fraco retorno",IF(VLOOKUP(BM128,Fundamentus!A:U,17,FALSE)&gt;0.1,"Bom retorno","n/a"))</f>
        <v>Fraco retorno</v>
      </c>
      <c r="ES128" s="17" t="str">
        <f>IF(VLOOKUP(BM128,Fundamentus!A:U,16,FALSE)&lt;0.1,"Ineficiente",IF(VLOOKUP(BM128,Fundamentus!A:U,16,FALSE)&gt;0.1,"Eficiente","n/a"))</f>
        <v>Ineficiente</v>
      </c>
      <c r="ET128" s="33" t="str">
        <f>IF(VLOOKUP(BM128,Fundamentus!A:U,16,FALSE)&lt;0.1,"Oper. Ineficiente",IF(VLOOKUP(BM128,Fundamentus!A:U,16,FALSE)&gt;0.1,"Oper.Eficiente","n/a"))</f>
        <v>Oper. Ineficiente</v>
      </c>
      <c r="EU128" s="34">
        <f>VLOOKUP(BM128,Fundamentus!A:U,14,FALSE)</f>
        <v>1.9E-2</v>
      </c>
      <c r="EV128" s="17" t="str">
        <f>IF(VLOOKUP(BM128,Fundamentus!A:U,21,FALSE)&lt;0,"Negativo",IF(VLOOKUP(BM128,Fundamentus!A:U,21,FALSE)&lt;0.05,"Fraco",IF(VLOOKUP(BM128,Fundamentus!A:U,21,FALSE)&lt;0.1,"Bom",IF(VLOOKUP(BM128,Fundamentus!A:U,21,FALSE)&gt;0.1,"Muito bom","n/a"))))</f>
        <v>Bom</v>
      </c>
      <c r="EX128" s="29" t="str">
        <f>IF(VLOOKUP(BM128,Fundamentus!A:U,15,FALSE)&gt;1,"Bom",IF(VLOOKUP(BM128,Fundamentus!A:U,15,FALSE)&lt;1,"Ruim","n/a"))</f>
        <v>Bom</v>
      </c>
      <c r="EY128" s="17" t="str">
        <f>IF(VLOOKUP(BM128,Fundamentus!A:U,20,FALSE)&lt;0.5,"Baixa",IF(VLOOKUP(BM128,Fundamentus!A:U,20,FALSE)&lt;1,"Moderada",IF(VLOOKUP(BM128,Fundamentus!A:U,20,FALSE)&lt;2,"Alerta",IF(VLOOKUP(BM128,Fundamentus!A:U,20,FALSE)&gt;2,"Alta","n/a"))))</f>
        <v>Moderada</v>
      </c>
      <c r="EZ128" s="10"/>
    </row>
    <row r="129" spans="1:156" s="2" customFormat="1" ht="11.25" x14ac:dyDescent="0.2">
      <c r="A129" s="4">
        <v>8</v>
      </c>
      <c r="B129" s="4">
        <v>8</v>
      </c>
      <c r="C129" s="4">
        <v>7.96</v>
      </c>
      <c r="D129" s="4">
        <v>7.92</v>
      </c>
      <c r="E129" s="4">
        <v>7.57</v>
      </c>
      <c r="F129" s="4">
        <v>7.18</v>
      </c>
      <c r="G129" s="4">
        <v>7.18</v>
      </c>
      <c r="H129" s="4">
        <v>7.54</v>
      </c>
      <c r="I129" s="4">
        <v>7.85</v>
      </c>
      <c r="J129" s="4">
        <v>7.99</v>
      </c>
      <c r="K129" s="4">
        <v>8.06</v>
      </c>
      <c r="L129" s="4">
        <v>8.5299999999999994</v>
      </c>
      <c r="M129" s="4">
        <v>6.33</v>
      </c>
      <c r="N129" s="4">
        <v>5.94</v>
      </c>
      <c r="O129" s="4">
        <v>5.95</v>
      </c>
      <c r="P129" s="4">
        <v>6.1</v>
      </c>
      <c r="Q129" s="4">
        <v>6.58</v>
      </c>
      <c r="R129" s="4">
        <v>6.23</v>
      </c>
      <c r="S129" s="4">
        <v>5.99</v>
      </c>
      <c r="T129" s="4">
        <v>6.17</v>
      </c>
      <c r="U129" s="4">
        <v>5.88</v>
      </c>
      <c r="V129" s="4">
        <v>6.24</v>
      </c>
      <c r="W129" s="4">
        <v>6.21</v>
      </c>
      <c r="X129" s="4">
        <v>6.25</v>
      </c>
      <c r="Y129" s="4">
        <v>6.15</v>
      </c>
      <c r="Z129" s="4">
        <v>6.64</v>
      </c>
      <c r="AA129" s="4">
        <v>6.32</v>
      </c>
      <c r="AB129" s="4">
        <v>6.26</v>
      </c>
      <c r="AC129" s="4">
        <v>6.1</v>
      </c>
      <c r="AD129" s="4">
        <v>6.18</v>
      </c>
      <c r="AE129" s="4">
        <v>6.15</v>
      </c>
      <c r="AF129" s="4">
        <v>5.98</v>
      </c>
      <c r="AG129" s="4">
        <v>5.86</v>
      </c>
      <c r="AH129" s="4">
        <v>5.24</v>
      </c>
      <c r="AI129" s="4">
        <v>5.29</v>
      </c>
      <c r="AJ129" s="4">
        <v>4.8499999999999996</v>
      </c>
      <c r="AK129" s="4">
        <v>4.76</v>
      </c>
      <c r="AL129" s="4">
        <v>5.01</v>
      </c>
      <c r="AM129" s="4">
        <v>5.23</v>
      </c>
      <c r="AN129" s="4">
        <v>5.51</v>
      </c>
      <c r="AO129" s="4">
        <v>5.6</v>
      </c>
      <c r="AP129" s="4">
        <v>5.98</v>
      </c>
      <c r="AQ129" s="4">
        <v>5.98</v>
      </c>
      <c r="AR129" s="4">
        <v>5.71</v>
      </c>
      <c r="AS129" s="4">
        <v>6.02</v>
      </c>
      <c r="AT129" s="4">
        <v>5.88</v>
      </c>
      <c r="AU129" s="4">
        <v>5.85</v>
      </c>
      <c r="AV129" s="4">
        <v>5.72</v>
      </c>
      <c r="AW129" s="4">
        <v>5.35</v>
      </c>
      <c r="AX129" s="4">
        <v>5.42</v>
      </c>
      <c r="AY129" s="12">
        <v>5.67</v>
      </c>
      <c r="AZ129" s="12">
        <v>5.73</v>
      </c>
      <c r="BA129" s="12">
        <v>5.53</v>
      </c>
      <c r="BB129" s="15">
        <v>5.6</v>
      </c>
      <c r="BC129" s="52">
        <v>5.55</v>
      </c>
      <c r="BD129" s="52">
        <v>5.33</v>
      </c>
      <c r="BE129" s="52">
        <v>5.2</v>
      </c>
      <c r="BF129" s="52">
        <v>5.18</v>
      </c>
      <c r="BG129" s="67">
        <v>4.7699999999999996</v>
      </c>
      <c r="BH129" s="52">
        <v>4.4000000000000004</v>
      </c>
      <c r="BI129" s="52">
        <v>4.1500000000000004</v>
      </c>
      <c r="BJ129" s="52">
        <v>4.47</v>
      </c>
      <c r="BK129" s="52">
        <v>4.29</v>
      </c>
      <c r="BL129" s="52" cm="1">
        <f t="array" aca="1" ref="BL129" ca="1">_FV(EC129,"Preço")</f>
        <v>4.29</v>
      </c>
      <c r="BM129" s="69" t="s">
        <v>125</v>
      </c>
      <c r="BN129" s="36" cm="1">
        <f t="array" aca="1" ref="BN129" ca="1">_FV(EC129,"Média de volume",TRUE)</f>
        <v>12469280</v>
      </c>
      <c r="BO129" s="36">
        <v>7248400</v>
      </c>
      <c r="BP129" s="36" cm="1">
        <f t="array" aca="1" ref="BP129" ca="1">_FV(EC129,"Volume")</f>
        <v>7248400</v>
      </c>
      <c r="BQ129" s="24" cm="1">
        <f t="array" aca="1" ref="BQ129" ca="1">_FV(EC129,"Beta")</f>
        <v>0.87809999999999999</v>
      </c>
      <c r="BR129" s="71" cm="1">
        <f t="array" aca="1" ref="BR129" ca="1">_FV(EC129,"Variação (%)",TRUE)</f>
        <v>-6.9440000000000005E-3</v>
      </c>
      <c r="BT129" s="17" cm="1">
        <f t="array" aca="1" ref="BT129" ca="1">_FV(EC129,"Baixo")</f>
        <v>4.2300000000000004</v>
      </c>
      <c r="BU129" s="17" cm="1">
        <f t="array" aca="1" ref="BU129" ca="1">_FV(EC129,"Alto")</f>
        <v>4.32</v>
      </c>
      <c r="BV129" s="24"/>
      <c r="BW129" s="63">
        <f ca="1">SQRT(22.5*(BL129/VLOOKUP(BM129,Fundamentus!A:U,3,FALSE))*(BL129/VLOOKUP(BM129,Fundamentus!A:U,4,FALSE)))</f>
        <v>6.2406647894172753</v>
      </c>
      <c r="BY129" s="62">
        <f t="shared" ca="1" si="112"/>
        <v>0</v>
      </c>
      <c r="BZ129" s="8"/>
      <c r="CA129" s="61">
        <f t="shared" si="113"/>
        <v>4.1500000000000004</v>
      </c>
      <c r="CB129" s="61">
        <f t="shared" si="114"/>
        <v>8.5299999999999994</v>
      </c>
      <c r="CC129" s="61">
        <f t="shared" si="115"/>
        <v>6.0723809523809535</v>
      </c>
      <c r="CD129" s="14"/>
      <c r="CE129" s="35">
        <f t="shared" si="98"/>
        <v>3.6431221681550947</v>
      </c>
      <c r="CF129" s="15">
        <f t="shared" si="116"/>
        <v>4.327</v>
      </c>
      <c r="CG129" s="35">
        <f t="shared" si="99"/>
        <v>5.0108778318449048</v>
      </c>
      <c r="CI129" s="14"/>
      <c r="CJ129" s="17">
        <f t="shared" si="100"/>
        <v>-1.4766666666666666</v>
      </c>
      <c r="CK129" s="17">
        <f t="shared" si="101"/>
        <v>1.3366666666666669</v>
      </c>
      <c r="CL129" s="17">
        <f t="shared" si="102"/>
        <v>2.9033333333333324</v>
      </c>
      <c r="CM129" s="38">
        <f t="shared" si="117"/>
        <v>5.7166666666666659</v>
      </c>
      <c r="CN129" s="17">
        <f t="shared" si="103"/>
        <v>7.2833333333333314</v>
      </c>
      <c r="CO129" s="17">
        <f t="shared" si="104"/>
        <v>10.096666666666664</v>
      </c>
      <c r="CP129" s="17">
        <f t="shared" si="105"/>
        <v>11.66333333333333</v>
      </c>
      <c r="CQ129" s="2" cm="1">
        <f t="array" aca="1" ref="CQ129" ca="1">MAX(_xlfn._xlws.FILTER(CJ129:CP129,CJ129:CP129&lt;BL129))</f>
        <v>2.9033333333333324</v>
      </c>
      <c r="CR129" s="2" cm="1">
        <f t="array" aca="1" ref="CR129" ca="1">MIN(_xlfn._xlws.FILTER($CJ129:$CP129,$CJ129:$CP129&gt;BL129))</f>
        <v>5.7166666666666659</v>
      </c>
      <c r="CS129" s="16">
        <f t="shared" ca="1" si="136"/>
        <v>0.96900114810562599</v>
      </c>
      <c r="CT129" s="20">
        <f t="shared" ca="1" si="137"/>
        <v>-0.48450057405281299</v>
      </c>
      <c r="CU129" s="20">
        <f t="shared" ca="1" si="138"/>
        <v>-0.32300038270187531</v>
      </c>
      <c r="CV129" s="20">
        <f t="shared" ca="1" si="139"/>
        <v>-0.1938002296211252</v>
      </c>
      <c r="CW129" s="20">
        <f t="shared" ca="1" si="140"/>
        <v>-0.10766679423395845</v>
      </c>
      <c r="CX129" s="20">
        <f t="shared" ca="1" si="141"/>
        <v>-5.700006753562506E-2</v>
      </c>
      <c r="CY129" s="20">
        <f t="shared" ca="1" si="142"/>
        <v>-2.9363671154715939E-2</v>
      </c>
      <c r="CZ129" s="20">
        <f t="shared" ca="1" si="143"/>
        <v>-1.4907709970855785E-2</v>
      </c>
      <c r="DA129" s="21">
        <f t="shared" ca="1" si="144"/>
        <v>1.4907709970855785E-2</v>
      </c>
      <c r="DB129" s="21">
        <f t="shared" ca="1" si="145"/>
        <v>2.9363671154715939E-2</v>
      </c>
      <c r="DC129" s="21">
        <f t="shared" ca="1" si="146"/>
        <v>5.700006753562506E-2</v>
      </c>
      <c r="DD129" s="21">
        <f t="shared" ca="1" si="147"/>
        <v>0.10766679423395845</v>
      </c>
      <c r="DE129" s="21">
        <f t="shared" ca="1" si="148"/>
        <v>0.1938002296211252</v>
      </c>
      <c r="DF129" s="21">
        <f t="shared" ca="1" si="149"/>
        <v>0.32300038270187531</v>
      </c>
      <c r="DG129" s="21">
        <f t="shared" ca="1" si="150"/>
        <v>0.48450057405281299</v>
      </c>
      <c r="DI129" s="16" cm="1">
        <f t="array" aca="1" ref="DI129" ca="1">MAX(_xlfn._xlws.FILTER(CT129:DG129,CT129:DG129&lt;BR129))</f>
        <v>-1.4907709970855785E-2</v>
      </c>
      <c r="DJ129" s="16" cm="1">
        <f t="array" aca="1" ref="DJ129" ca="1">MIN(_xlfn._xlws.FILTER(CT129:DG129,CT129:DG129&gt;BR129))</f>
        <v>1.4907709970855785E-2</v>
      </c>
      <c r="DK129" s="2" cm="1">
        <f t="array" aca="1" ref="DK129" ca="1">_FV(EC129,"Fechamento anterior",TRUE)</f>
        <v>4.32</v>
      </c>
      <c r="DL129" s="28">
        <f t="shared" ca="1" si="106"/>
        <v>0.26708547261716498</v>
      </c>
      <c r="DM129" s="15">
        <f t="shared" ca="1" si="151"/>
        <v>4.2555986929259033</v>
      </c>
      <c r="DN129" s="15">
        <f t="shared" ca="1" si="152"/>
        <v>4.3844013070740973</v>
      </c>
      <c r="DO129" s="9"/>
      <c r="DP129" s="9"/>
      <c r="DQ129" s="9"/>
      <c r="DR129" s="89">
        <v>2.161245568059195E-2</v>
      </c>
      <c r="DS129" s="89">
        <v>3.7390834776455696E-2</v>
      </c>
      <c r="DT129" s="89">
        <v>2.9815419941711569E-2</v>
      </c>
      <c r="DU129" s="89">
        <v>2.9815419941711569E-2</v>
      </c>
      <c r="DV129" s="89">
        <f t="shared" ca="1" si="107"/>
        <v>2.9815419941711569E-2</v>
      </c>
      <c r="DW129" s="72">
        <f t="shared" ca="1" si="108"/>
        <v>-5.4103230543655123E-2</v>
      </c>
      <c r="DX129" s="37"/>
      <c r="DY129" s="35">
        <f t="shared" si="118"/>
        <v>0.34193891592245257</v>
      </c>
      <c r="DZ129" s="56"/>
      <c r="EA129" s="56"/>
      <c r="EC129" s="2" t="e" vm="128">
        <v>#VALUE!</v>
      </c>
      <c r="EE129" s="10" cm="1">
        <f t="array" aca="1" ref="EE129" ca="1">_FV(EC129,"Ações em circulação",TRUE)</f>
        <v>1253079000</v>
      </c>
      <c r="EF129" s="18">
        <f>VLOOKUP(BM129,Fundamentus!A:U,5,FALSE)</f>
        <v>0.22600000000000001</v>
      </c>
      <c r="EG129" s="2">
        <f t="shared" ca="1" si="109"/>
        <v>23786322610.619469</v>
      </c>
      <c r="EH129" s="17">
        <v>273542710.02212387</v>
      </c>
      <c r="EI129" s="17">
        <f t="shared" ca="1" si="110"/>
        <v>273542710.02212387</v>
      </c>
      <c r="EK129" s="16">
        <f t="shared" ca="1" si="97"/>
        <v>0</v>
      </c>
      <c r="EL129" s="32" t="str">
        <f>IF(VLOOKUP(BM129,Fundamentus!A:U,3,FALSE)&lt;15,"Bom",IF(VLOOKUP(BM129,Fundamentus!A:U,3,FALSE)&gt;15,"Ruim","n/a"))</f>
        <v>Ruim</v>
      </c>
      <c r="EM129" s="28" t="str">
        <f>IF(VLOOKUP(BM129,Fundamentus!A:U,4,FALSE)&lt;1,"Baixo",IF(VLOOKUP(BM129,Fundamentus!A:U,4,FALSE)&lt;1.5,"Moderado",IF(VLOOKUP(BM129,Fundamentus!A:U,4,FALSE)&gt;1.5,"Alto","n/a")))</f>
        <v>Baixo</v>
      </c>
      <c r="EN129" s="17" t="str">
        <f>IF(VLOOKUP(BM129,Fundamentus!A:U,8,FALSE)&lt;0,"Risco elevado",IF(VLOOKUP(BM129,Fundamentus!A:U,8,FALSE)&lt;1,"Saudável",IF(VLOOKUP(BM129,Fundamentus!A:U,8,FALSE)&lt;3,"Estável",IF(VLOOKUP(BM129,Fundamentus!A:U,8,FALSE)&gt;3,"Alerta","n/a"))))</f>
        <v>Saudável</v>
      </c>
      <c r="EO129" s="28" t="str">
        <f t="shared" si="111"/>
        <v>Ruim</v>
      </c>
      <c r="EP129" s="17" t="str">
        <f>IF(VLOOKUP(BM129,Fundamentus!A:U,12,FALSE)&lt;2,"Subvalorizada",IF(VLOOKUP(BM129,Fundamentus!A:U,12,FALSE)&lt;6,"Muita barata",IF(VLOOKUP(BM129,Fundamentus!A:U,12,FALSE)&lt;6,"Barata",IF(VLOOKUP(BM129,Fundamentus!A:U,12,FALSE)&lt;8,"Atrativa",IF(VLOOKUP(BM129,Fundamentus!A:U,12,FALSE)&gt;8,"Supervalorizada","n/a")))))</f>
        <v>Muita barata</v>
      </c>
      <c r="ER129" s="17" t="str">
        <f>IF(VLOOKUP(BM129,Fundamentus!A:U,17,FALSE)&lt;0.1,"Fraco retorno",IF(VLOOKUP(BM129,Fundamentus!A:U,17,FALSE)&gt;0.1,"Bom retorno","n/a"))</f>
        <v>Fraco retorno</v>
      </c>
      <c r="ES129" s="17" t="str">
        <f>IF(VLOOKUP(BM129,Fundamentus!A:U,16,FALSE)&lt;0.1,"Ineficiente",IF(VLOOKUP(BM129,Fundamentus!A:U,16,FALSE)&gt;0.1,"Eficiente","n/a"))</f>
        <v>Ineficiente</v>
      </c>
      <c r="ET129" s="33" t="str">
        <f>IF(VLOOKUP(BM129,Fundamentus!A:U,16,FALSE)&lt;0.1,"Oper. Ineficiente",IF(VLOOKUP(BM129,Fundamentus!A:U,16,FALSE)&gt;0.1,"Oper.Eficiente","n/a"))</f>
        <v>Oper. Ineficiente</v>
      </c>
      <c r="EU129" s="34">
        <f>VLOOKUP(BM129,Fundamentus!A:U,14,FALSE)</f>
        <v>1.15E-2</v>
      </c>
      <c r="EV129" s="17" t="str">
        <f>IF(VLOOKUP(BM129,Fundamentus!A:U,21,FALSE)&lt;0,"Negativo",IF(VLOOKUP(BM129,Fundamentus!A:U,21,FALSE)&lt;0.05,"Fraco",IF(VLOOKUP(BM129,Fundamentus!A:U,21,FALSE)&lt;0.1,"Bom",IF(VLOOKUP(BM129,Fundamentus!A:U,21,FALSE)&gt;0.1,"Muito bom","n/a"))))</f>
        <v>Fraco</v>
      </c>
      <c r="EX129" s="29" t="str">
        <f>IF(VLOOKUP(BM129,Fundamentus!A:U,15,FALSE)&gt;1,"Bom",IF(VLOOKUP(BM129,Fundamentus!A:U,15,FALSE)&lt;1,"Ruim","n/a"))</f>
        <v>Bom</v>
      </c>
      <c r="EY129" s="17" t="str">
        <f>IF(VLOOKUP(BM129,Fundamentus!A:U,20,FALSE)&lt;0.5,"Baixa",IF(VLOOKUP(BM129,Fundamentus!A:U,20,FALSE)&lt;1,"Moderada",IF(VLOOKUP(BM129,Fundamentus!A:U,20,FALSE)&lt;2,"Alerta",IF(VLOOKUP(BM129,Fundamentus!A:U,20,FALSE)&gt;2,"Alta","n/a"))))</f>
        <v>Baixa</v>
      </c>
      <c r="EZ129" s="10"/>
    </row>
    <row r="130" spans="1:156" s="2" customFormat="1" ht="11.25" x14ac:dyDescent="0.2">
      <c r="A130" s="4">
        <v>7.13</v>
      </c>
      <c r="B130" s="4">
        <v>7</v>
      </c>
      <c r="C130" s="4">
        <v>6.9</v>
      </c>
      <c r="D130" s="4">
        <v>6.9</v>
      </c>
      <c r="E130" s="4">
        <v>6.76</v>
      </c>
      <c r="F130" s="4">
        <v>6.53</v>
      </c>
      <c r="G130" s="4">
        <v>6.56</v>
      </c>
      <c r="H130" s="4">
        <v>6.84</v>
      </c>
      <c r="I130" s="4">
        <v>6.74</v>
      </c>
      <c r="J130" s="4">
        <v>7.89</v>
      </c>
      <c r="K130" s="4">
        <v>7.75</v>
      </c>
      <c r="L130" s="4">
        <v>7.4</v>
      </c>
      <c r="M130" s="4">
        <v>7.04</v>
      </c>
      <c r="N130" s="4">
        <v>6.62</v>
      </c>
      <c r="O130" s="4">
        <v>7.04</v>
      </c>
      <c r="P130" s="4">
        <v>6.75</v>
      </c>
      <c r="Q130" s="4">
        <v>6.81</v>
      </c>
      <c r="R130" s="4">
        <v>6.72</v>
      </c>
      <c r="S130" s="4">
        <v>6.55</v>
      </c>
      <c r="T130" s="4">
        <v>6.65</v>
      </c>
      <c r="U130" s="4">
        <v>6.74</v>
      </c>
      <c r="V130" s="4">
        <v>6.5</v>
      </c>
      <c r="W130" s="4">
        <v>6.44</v>
      </c>
      <c r="X130" s="4">
        <v>6.17</v>
      </c>
      <c r="Y130" s="4">
        <v>6.1</v>
      </c>
      <c r="Z130" s="4">
        <v>6.01</v>
      </c>
      <c r="AA130" s="4">
        <v>5.96</v>
      </c>
      <c r="AB130" s="4">
        <v>5.85</v>
      </c>
      <c r="AC130" s="4">
        <v>5.27</v>
      </c>
      <c r="AD130" s="4">
        <v>5.22</v>
      </c>
      <c r="AE130" s="4">
        <v>5.17</v>
      </c>
      <c r="AF130" s="4">
        <v>4.93</v>
      </c>
      <c r="AG130" s="4">
        <v>4.83</v>
      </c>
      <c r="AH130" s="4">
        <v>4.6399999999999997</v>
      </c>
      <c r="AI130" s="4">
        <v>4.55</v>
      </c>
      <c r="AJ130" s="4">
        <v>4.5199999999999996</v>
      </c>
      <c r="AK130" s="4">
        <v>4.46</v>
      </c>
      <c r="AL130" s="4">
        <v>4.5999999999999996</v>
      </c>
      <c r="AM130" s="4">
        <v>4.53</v>
      </c>
      <c r="AN130" s="4">
        <v>4.6100000000000003</v>
      </c>
      <c r="AO130" s="4">
        <v>4.42</v>
      </c>
      <c r="AP130" s="4">
        <v>4.63</v>
      </c>
      <c r="AQ130" s="4">
        <v>4.4400000000000004</v>
      </c>
      <c r="AR130" s="4">
        <v>4.0999999999999996</v>
      </c>
      <c r="AS130" s="4">
        <v>4.1399999999999997</v>
      </c>
      <c r="AT130" s="4">
        <v>4.0999999999999996</v>
      </c>
      <c r="AU130" s="4">
        <v>4.07</v>
      </c>
      <c r="AV130" s="4">
        <v>4.1100000000000003</v>
      </c>
      <c r="AW130" s="4">
        <v>3.95</v>
      </c>
      <c r="AX130" s="4">
        <v>3.96</v>
      </c>
      <c r="AY130" s="12">
        <v>4.07</v>
      </c>
      <c r="AZ130" s="12">
        <v>4.1500000000000004</v>
      </c>
      <c r="BA130" s="12">
        <v>4</v>
      </c>
      <c r="BB130" s="15">
        <v>4.13</v>
      </c>
      <c r="BC130" s="52">
        <v>4.41</v>
      </c>
      <c r="BD130" s="52">
        <v>4.32</v>
      </c>
      <c r="BE130" s="52">
        <v>4.0999999999999996</v>
      </c>
      <c r="BF130" s="52">
        <v>4.09</v>
      </c>
      <c r="BG130" s="67">
        <v>4.08</v>
      </c>
      <c r="BH130" s="52">
        <v>4.0999999999999996</v>
      </c>
      <c r="BI130" s="52">
        <v>3.9</v>
      </c>
      <c r="BJ130" s="52">
        <v>3.89</v>
      </c>
      <c r="BK130" s="52">
        <v>3.68</v>
      </c>
      <c r="BL130" s="52" cm="1">
        <f t="array" aca="1" ref="BL130" ca="1">_FV(EC130,"Preço")</f>
        <v>3.68</v>
      </c>
      <c r="BM130" s="69" t="s">
        <v>126</v>
      </c>
      <c r="BN130" s="36" cm="1">
        <f t="array" aca="1" ref="BN130" ca="1">_FV(EC130,"Média de volume",TRUE)</f>
        <v>673280</v>
      </c>
      <c r="BO130" s="36">
        <v>470100</v>
      </c>
      <c r="BP130" s="36" cm="1">
        <f t="array" aca="1" ref="BP130" ca="1">_FV(EC130,"Volume")</f>
        <v>470100</v>
      </c>
      <c r="BQ130" s="24" cm="1">
        <f t="array" aca="1" ref="BQ130" ca="1">_FV(EC130,"Beta")</f>
        <v>0.38469999999999999</v>
      </c>
      <c r="BR130" s="71" cm="1">
        <f t="array" aca="1" ref="BR130" ca="1">_FV(EC130,"Variação (%)",TRUE)</f>
        <v>-2.7100000000000002E-3</v>
      </c>
      <c r="BT130" s="17" cm="1">
        <f t="array" aca="1" ref="BT130" ca="1">_FV(EC130,"Baixo")</f>
        <v>3.66</v>
      </c>
      <c r="BU130" s="17" cm="1">
        <f t="array" aca="1" ref="BU130" ca="1">_FV(EC130,"Alto")</f>
        <v>3.72</v>
      </c>
      <c r="BV130" s="24"/>
      <c r="BW130" s="63" t="e">
        <f ca="1">SQRT(22.5*(BL130/VLOOKUP(BM130,Fundamentus!A:U,3,FALSE))*(BL130/VLOOKUP(BM130,Fundamentus!A:U,4,FALSE)))</f>
        <v>#NUM!</v>
      </c>
      <c r="BY130" s="62">
        <f t="shared" ca="1" si="112"/>
        <v>0</v>
      </c>
      <c r="BZ130" s="8"/>
      <c r="CA130" s="61">
        <f t="shared" si="113"/>
        <v>3.68</v>
      </c>
      <c r="CB130" s="61">
        <f t="shared" si="114"/>
        <v>7.89</v>
      </c>
      <c r="CC130" s="61">
        <f t="shared" si="115"/>
        <v>5.4050793650793656</v>
      </c>
      <c r="CD130" s="14"/>
      <c r="CE130" s="35">
        <f t="shared" si="98"/>
        <v>3.5259781819370377</v>
      </c>
      <c r="CF130" s="15">
        <f t="shared" si="116"/>
        <v>3.8290000000000646</v>
      </c>
      <c r="CG130" s="35">
        <f t="shared" si="99"/>
        <v>4.132021818063091</v>
      </c>
      <c r="CI130" s="14"/>
      <c r="CJ130" s="17">
        <f t="shared" si="100"/>
        <v>-1.7933333333333326</v>
      </c>
      <c r="CK130" s="17">
        <f t="shared" si="101"/>
        <v>0.94333333333333425</v>
      </c>
      <c r="CL130" s="17">
        <f t="shared" si="102"/>
        <v>2.416666666666667</v>
      </c>
      <c r="CM130" s="38">
        <f t="shared" si="117"/>
        <v>5.1533333333333333</v>
      </c>
      <c r="CN130" s="17">
        <f t="shared" si="103"/>
        <v>6.6266666666666669</v>
      </c>
      <c r="CO130" s="17">
        <f t="shared" si="104"/>
        <v>9.3633333333333333</v>
      </c>
      <c r="CP130" s="17">
        <f t="shared" si="105"/>
        <v>10.836666666666666</v>
      </c>
      <c r="CQ130" s="2" cm="1">
        <f t="array" aca="1" ref="CQ130" ca="1">MAX(_xlfn._xlws.FILTER(CJ130:CP130,CJ130:CP130&lt;BL130))</f>
        <v>2.416666666666667</v>
      </c>
      <c r="CR130" s="2" cm="1">
        <f t="array" aca="1" ref="CR130" ca="1">MIN(_xlfn._xlws.FILTER($CJ130:$CP130,$CJ130:$CP130&gt;BL130))</f>
        <v>5.1533333333333333</v>
      </c>
      <c r="CS130" s="16">
        <f t="shared" ca="1" si="136"/>
        <v>1.1324137931034479</v>
      </c>
      <c r="CT130" s="20">
        <f t="shared" ca="1" si="137"/>
        <v>-0.56620689655172396</v>
      </c>
      <c r="CU130" s="20">
        <f t="shared" ca="1" si="138"/>
        <v>-0.37747126436781597</v>
      </c>
      <c r="CV130" s="20">
        <f t="shared" ca="1" si="139"/>
        <v>-0.22648275862068959</v>
      </c>
      <c r="CW130" s="20">
        <f t="shared" ca="1" si="140"/>
        <v>-0.12582375478927199</v>
      </c>
      <c r="CX130" s="20">
        <f t="shared" ca="1" si="141"/>
        <v>-6.6612576064908696E-2</v>
      </c>
      <c r="CY130" s="20">
        <f t="shared" ca="1" si="142"/>
        <v>-3.4315569487983269E-2</v>
      </c>
      <c r="CZ130" s="20">
        <f t="shared" ca="1" si="143"/>
        <v>-1.7421750663129967E-2</v>
      </c>
      <c r="DA130" s="21">
        <f t="shared" ca="1" si="144"/>
        <v>1.7421750663129967E-2</v>
      </c>
      <c r="DB130" s="21">
        <f t="shared" ca="1" si="145"/>
        <v>3.4315569487983269E-2</v>
      </c>
      <c r="DC130" s="21">
        <f t="shared" ca="1" si="146"/>
        <v>6.6612576064908696E-2</v>
      </c>
      <c r="DD130" s="21">
        <f t="shared" ca="1" si="147"/>
        <v>0.12582375478927199</v>
      </c>
      <c r="DE130" s="21">
        <f t="shared" ca="1" si="148"/>
        <v>0.22648275862068959</v>
      </c>
      <c r="DF130" s="21">
        <f t="shared" ca="1" si="149"/>
        <v>0.37747126436781597</v>
      </c>
      <c r="DG130" s="21">
        <f t="shared" ca="1" si="150"/>
        <v>0.56620689655172396</v>
      </c>
      <c r="DI130" s="16" cm="1">
        <f t="array" aca="1" ref="DI130" ca="1">MAX(_xlfn._xlws.FILTER(CT130:DG130,CT130:DG130&lt;BR130))</f>
        <v>-1.7421750663129967E-2</v>
      </c>
      <c r="DJ130" s="16" cm="1">
        <f t="array" aca="1" ref="DJ130" ca="1">MIN(_xlfn._xlws.FILTER(CT130:DG130,CT130:DG130&gt;BR130))</f>
        <v>1.7421750663129967E-2</v>
      </c>
      <c r="DK130" s="2" cm="1">
        <f t="array" aca="1" ref="DK130" ca="1">_FV(EC130,"Fechamento anterior",TRUE)</f>
        <v>3.69</v>
      </c>
      <c r="DL130" s="28">
        <f t="shared" ca="1" si="106"/>
        <v>0.42222288239934913</v>
      </c>
      <c r="DM130" s="15">
        <f t="shared" ca="1" si="151"/>
        <v>3.6257137400530506</v>
      </c>
      <c r="DN130" s="15">
        <f t="shared" ca="1" si="152"/>
        <v>3.7542862599469493</v>
      </c>
      <c r="DO130" s="9"/>
      <c r="DP130" s="9"/>
      <c r="DQ130" s="9"/>
      <c r="DR130" s="89">
        <v>3.0640129101667551E-2</v>
      </c>
      <c r="DS130" s="89">
        <v>2.918745880802184E-2</v>
      </c>
      <c r="DT130" s="89">
        <v>3.2093069902717861E-2</v>
      </c>
      <c r="DU130" s="89">
        <v>3.2093069902717861E-2</v>
      </c>
      <c r="DV130" s="89">
        <f t="shared" ca="1" si="107"/>
        <v>3.4843501326259935E-2</v>
      </c>
      <c r="DW130" s="72">
        <f t="shared" ca="1" si="108"/>
        <v>-0.49171376817847895</v>
      </c>
      <c r="DX130" s="37"/>
      <c r="DY130" s="35">
        <f t="shared" si="118"/>
        <v>0.15151090903151337</v>
      </c>
      <c r="DZ130" s="56"/>
      <c r="EA130" s="56"/>
      <c r="EC130" s="2" t="e" vm="129">
        <v>#VALUE!</v>
      </c>
      <c r="EE130" s="10" cm="1">
        <f t="array" aca="1" ref="EE130" ca="1">_FV(EC130,"Ações em circulação",TRUE)</f>
        <v>303541900</v>
      </c>
      <c r="EF130" s="18">
        <f>VLOOKUP(BM130,Fundamentus!A:U,5,FALSE)</f>
        <v>0.56599999999999995</v>
      </c>
      <c r="EG130" s="2">
        <f t="shared" ca="1" si="109"/>
        <v>1973558643.1095407</v>
      </c>
      <c r="EH130" s="17">
        <v>-31379582.425441697</v>
      </c>
      <c r="EI130" s="17">
        <f t="shared" ca="1" si="110"/>
        <v>-31379582.425441697</v>
      </c>
      <c r="EK130" s="16">
        <f t="shared" ca="1" si="97"/>
        <v>0</v>
      </c>
      <c r="EL130" s="32" t="str">
        <f>IF(VLOOKUP(BM130,Fundamentus!A:U,3,FALSE)&lt;15,"Bom",IF(VLOOKUP(BM130,Fundamentus!A:U,3,FALSE)&gt;15,"Ruim","n/a"))</f>
        <v>Bom</v>
      </c>
      <c r="EM130" s="28" t="str">
        <f>IF(VLOOKUP(BM130,Fundamentus!A:U,4,FALSE)&lt;1,"Baixo",IF(VLOOKUP(BM130,Fundamentus!A:U,4,FALSE)&lt;1.5,"Moderado",IF(VLOOKUP(BM130,Fundamentus!A:U,4,FALSE)&gt;1.5,"Alto","n/a")))</f>
        <v>Baixo</v>
      </c>
      <c r="EN130" s="17" t="str">
        <f>IF(VLOOKUP(BM130,Fundamentus!A:U,8,FALSE)&lt;0,"Risco elevado",IF(VLOOKUP(BM130,Fundamentus!A:U,8,FALSE)&lt;1,"Saudável",IF(VLOOKUP(BM130,Fundamentus!A:U,8,FALSE)&lt;3,"Estável",IF(VLOOKUP(BM130,Fundamentus!A:U,8,FALSE)&gt;3,"Alerta","n/a"))))</f>
        <v>Saudável</v>
      </c>
      <c r="EO130" s="28" t="str">
        <f t="shared" si="111"/>
        <v>Ruim</v>
      </c>
      <c r="EP130" s="17" t="str">
        <f>IF(VLOOKUP(BM130,Fundamentus!A:U,12,FALSE)&lt;2,"Subvalorizada",IF(VLOOKUP(BM130,Fundamentus!A:U,12,FALSE)&lt;6,"Muita barata",IF(VLOOKUP(BM130,Fundamentus!A:U,12,FALSE)&lt;6,"Barata",IF(VLOOKUP(BM130,Fundamentus!A:U,12,FALSE)&lt;8,"Atrativa",IF(VLOOKUP(BM130,Fundamentus!A:U,12,FALSE)&gt;8,"Supervalorizada","n/a")))))</f>
        <v>Muita barata</v>
      </c>
      <c r="ER130" s="17" t="str">
        <f>IF(VLOOKUP(BM130,Fundamentus!A:U,17,FALSE)&lt;0.1,"Fraco retorno",IF(VLOOKUP(BM130,Fundamentus!A:U,17,FALSE)&gt;0.1,"Bom retorno","n/a"))</f>
        <v>Fraco retorno</v>
      </c>
      <c r="ES130" s="17" t="str">
        <f>IF(VLOOKUP(BM130,Fundamentus!A:U,16,FALSE)&lt;0.1,"Ineficiente",IF(VLOOKUP(BM130,Fundamentus!A:U,16,FALSE)&gt;0.1,"Eficiente","n/a"))</f>
        <v>Ineficiente</v>
      </c>
      <c r="ET130" s="33" t="str">
        <f>IF(VLOOKUP(BM130,Fundamentus!A:U,16,FALSE)&lt;0.1,"Oper. Ineficiente",IF(VLOOKUP(BM130,Fundamentus!A:U,16,FALSE)&gt;0.1,"Oper.Eficiente","n/a"))</f>
        <v>Oper. Ineficiente</v>
      </c>
      <c r="EU130" s="34">
        <f>VLOOKUP(BM130,Fundamentus!A:U,14,FALSE)</f>
        <v>-1.5900000000000001E-2</v>
      </c>
      <c r="EV130" s="17" t="str">
        <f>IF(VLOOKUP(BM130,Fundamentus!A:U,21,FALSE)&lt;0,"Negativo",IF(VLOOKUP(BM130,Fundamentus!A:U,21,FALSE)&lt;0.05,"Fraco",IF(VLOOKUP(BM130,Fundamentus!A:U,21,FALSE)&lt;0.1,"Bom",IF(VLOOKUP(BM130,Fundamentus!A:U,21,FALSE)&gt;0.1,"Muito bom","n/a"))))</f>
        <v>Muito bom</v>
      </c>
      <c r="EX130" s="29" t="str">
        <f>IF(VLOOKUP(BM130,Fundamentus!A:U,15,FALSE)&gt;1,"Bom",IF(VLOOKUP(BM130,Fundamentus!A:U,15,FALSE)&lt;1,"Ruim","n/a"))</f>
        <v>Bom</v>
      </c>
      <c r="EY130" s="17" t="str">
        <f>IF(VLOOKUP(BM130,Fundamentus!A:U,20,FALSE)&lt;0.5,"Baixa",IF(VLOOKUP(BM130,Fundamentus!A:U,20,FALSE)&lt;1,"Moderada",IF(VLOOKUP(BM130,Fundamentus!A:U,20,FALSE)&lt;2,"Alerta",IF(VLOOKUP(BM130,Fundamentus!A:U,20,FALSE)&gt;2,"Alta","n/a"))))</f>
        <v>Alta</v>
      </c>
      <c r="EZ130" s="10"/>
    </row>
    <row r="131" spans="1:156" s="2" customFormat="1" ht="11.25" x14ac:dyDescent="0.2">
      <c r="A131" s="4">
        <v>20.23</v>
      </c>
      <c r="B131" s="4">
        <v>20.28</v>
      </c>
      <c r="C131" s="4">
        <v>20.149999999999999</v>
      </c>
      <c r="D131" s="4">
        <v>19.97</v>
      </c>
      <c r="E131" s="4">
        <v>19.28</v>
      </c>
      <c r="F131" s="4">
        <v>18.28</v>
      </c>
      <c r="G131" s="4">
        <v>18.010000000000002</v>
      </c>
      <c r="H131" s="4">
        <v>17.97</v>
      </c>
      <c r="I131" s="4">
        <v>18.53</v>
      </c>
      <c r="J131" s="4">
        <v>19.12</v>
      </c>
      <c r="K131" s="4">
        <v>19.239999999999998</v>
      </c>
      <c r="L131" s="4">
        <v>18.93</v>
      </c>
      <c r="M131" s="4">
        <v>18.57</v>
      </c>
      <c r="N131" s="4">
        <v>17.989999999999998</v>
      </c>
      <c r="O131" s="4">
        <v>18.07</v>
      </c>
      <c r="P131" s="4">
        <v>18.32</v>
      </c>
      <c r="Q131" s="4">
        <v>18.89</v>
      </c>
      <c r="R131" s="4">
        <v>19.47</v>
      </c>
      <c r="S131" s="4">
        <v>18.559999999999999</v>
      </c>
      <c r="T131" s="4">
        <v>18.829999999999998</v>
      </c>
      <c r="U131" s="4">
        <v>18.260000000000002</v>
      </c>
      <c r="V131" s="4">
        <v>20.3</v>
      </c>
      <c r="W131" s="4">
        <v>19.72</v>
      </c>
      <c r="X131" s="4">
        <v>19.45</v>
      </c>
      <c r="Y131" s="4">
        <v>18.91</v>
      </c>
      <c r="Z131" s="4">
        <v>19.38</v>
      </c>
      <c r="AA131" s="4">
        <v>19.77</v>
      </c>
      <c r="AB131" s="4">
        <v>19.37</v>
      </c>
      <c r="AC131" s="4">
        <v>17.62</v>
      </c>
      <c r="AD131" s="4">
        <v>18.05</v>
      </c>
      <c r="AE131" s="4">
        <v>18.45</v>
      </c>
      <c r="AF131" s="4">
        <v>17.48</v>
      </c>
      <c r="AG131" s="4">
        <v>17.510000000000002</v>
      </c>
      <c r="AH131" s="4">
        <v>16.739999999999998</v>
      </c>
      <c r="AI131" s="4">
        <v>16.61</v>
      </c>
      <c r="AJ131" s="4">
        <v>16.02</v>
      </c>
      <c r="AK131" s="4">
        <v>15.73</v>
      </c>
      <c r="AL131" s="4">
        <v>16.68</v>
      </c>
      <c r="AM131" s="4">
        <v>16.3</v>
      </c>
      <c r="AN131" s="4">
        <v>16.649999999999999</v>
      </c>
      <c r="AO131" s="4">
        <v>16.75</v>
      </c>
      <c r="AP131" s="4">
        <v>16.93</v>
      </c>
      <c r="AQ131" s="4">
        <v>17.46</v>
      </c>
      <c r="AR131" s="4">
        <v>16.600000000000001</v>
      </c>
      <c r="AS131" s="4">
        <v>17.14</v>
      </c>
      <c r="AT131" s="4">
        <v>17.5</v>
      </c>
      <c r="AU131" s="4">
        <v>17.940000000000001</v>
      </c>
      <c r="AV131" s="4">
        <v>18.23</v>
      </c>
      <c r="AW131" s="4">
        <v>16.71</v>
      </c>
      <c r="AX131" s="4">
        <v>17.170000000000002</v>
      </c>
      <c r="AY131" s="12">
        <v>17</v>
      </c>
      <c r="AZ131" s="12">
        <v>17.59</v>
      </c>
      <c r="BA131" s="12">
        <v>16.190000000000001</v>
      </c>
      <c r="BB131" s="15">
        <v>16.079999999999998</v>
      </c>
      <c r="BC131" s="52">
        <v>16.87</v>
      </c>
      <c r="BD131" s="52">
        <v>16.100000000000001</v>
      </c>
      <c r="BE131" s="52">
        <v>15.6</v>
      </c>
      <c r="BF131" s="52">
        <v>15.87</v>
      </c>
      <c r="BG131" s="67">
        <v>15.61</v>
      </c>
      <c r="BH131" s="52">
        <v>15.07</v>
      </c>
      <c r="BI131" s="52">
        <v>15.61</v>
      </c>
      <c r="BJ131" s="52">
        <v>16.489999999999998</v>
      </c>
      <c r="BK131" s="52">
        <v>16.66</v>
      </c>
      <c r="BL131" s="52" cm="1">
        <f t="array" aca="1" ref="BL131" ca="1">_FV(EC131,"Preço")</f>
        <v>16.66</v>
      </c>
      <c r="BM131" s="69" t="s">
        <v>127</v>
      </c>
      <c r="BN131" s="36" cm="1">
        <f t="array" aca="1" ref="BN131" ca="1">_FV(EC131,"Média de volume",TRUE)</f>
        <v>3283340</v>
      </c>
      <c r="BO131" s="36">
        <v>2067300</v>
      </c>
      <c r="BP131" s="36" cm="1">
        <f t="array" aca="1" ref="BP131" ca="1">_FV(EC131,"Volume")</f>
        <v>2067300</v>
      </c>
      <c r="BQ131" s="24" cm="1">
        <f t="array" aca="1" ref="BQ131" ca="1">_FV(EC131,"Beta")</f>
        <v>0.9133</v>
      </c>
      <c r="BR131" s="71" cm="1">
        <f t="array" aca="1" ref="BR131" ca="1">_FV(EC131,"Variação (%)",TRUE)</f>
        <v>6.6469999999999993E-3</v>
      </c>
      <c r="BT131" s="17" cm="1">
        <f t="array" aca="1" ref="BT131" ca="1">_FV(EC131,"Baixo")</f>
        <v>16.45</v>
      </c>
      <c r="BU131" s="17" cm="1">
        <f t="array" aca="1" ref="BU131" ca="1">_FV(EC131,"Alto")</f>
        <v>16.71</v>
      </c>
      <c r="BV131" s="24"/>
      <c r="BW131" s="63">
        <f ca="1">SQRT(22.5*(BL131/VLOOKUP(BM131,Fundamentus!A:U,3,FALSE))*(BL131/VLOOKUP(BM131,Fundamentus!A:U,4,FALSE)))</f>
        <v>40.892551536519775</v>
      </c>
      <c r="BY131" s="62">
        <f t="shared" ca="1" si="112"/>
        <v>0</v>
      </c>
      <c r="BZ131" s="8"/>
      <c r="CA131" s="61">
        <f t="shared" si="113"/>
        <v>15.07</v>
      </c>
      <c r="CB131" s="61">
        <f t="shared" si="114"/>
        <v>20.3</v>
      </c>
      <c r="CC131" s="61">
        <f t="shared" si="115"/>
        <v>17.791428571428565</v>
      </c>
      <c r="CD131" s="14"/>
      <c r="CE131" s="35">
        <f t="shared" si="98"/>
        <v>15.149938839636139</v>
      </c>
      <c r="CF131" s="15">
        <f t="shared" si="116"/>
        <v>16.239999999999782</v>
      </c>
      <c r="CG131" s="35">
        <f t="shared" si="99"/>
        <v>17.330061160363424</v>
      </c>
      <c r="CI131" s="14"/>
      <c r="CJ131" s="17">
        <f t="shared" si="100"/>
        <v>9.0433333333333294</v>
      </c>
      <c r="CK131" s="17">
        <f t="shared" si="101"/>
        <v>12.056666666666665</v>
      </c>
      <c r="CL131" s="17">
        <f t="shared" si="102"/>
        <v>14.27333333333333</v>
      </c>
      <c r="CM131" s="38">
        <f t="shared" si="117"/>
        <v>17.286666666666665</v>
      </c>
      <c r="CN131" s="17">
        <f t="shared" si="103"/>
        <v>19.50333333333333</v>
      </c>
      <c r="CO131" s="17">
        <f t="shared" si="104"/>
        <v>22.516666666666666</v>
      </c>
      <c r="CP131" s="17">
        <f t="shared" si="105"/>
        <v>24.733333333333331</v>
      </c>
      <c r="CQ131" s="2" cm="1">
        <f t="array" aca="1" ref="CQ131" ca="1">MAX(_xlfn._xlws.FILTER(CJ131:CP131,CJ131:CP131&lt;BL131))</f>
        <v>14.27333333333333</v>
      </c>
      <c r="CR131" s="2" cm="1">
        <f t="array" aca="1" ref="CR131" ca="1">MIN(_xlfn._xlws.FILTER($CJ131:$CP131,$CJ131:$CP131&gt;BL131))</f>
        <v>17.286666666666665</v>
      </c>
      <c r="CS131" s="16">
        <f t="shared" ca="1" si="136"/>
        <v>0.21111630079402177</v>
      </c>
      <c r="CT131" s="20">
        <f t="shared" ca="1" si="137"/>
        <v>-0.10555815039701089</v>
      </c>
      <c r="CU131" s="20">
        <f t="shared" ca="1" si="138"/>
        <v>-7.0372100264673929E-2</v>
      </c>
      <c r="CV131" s="20">
        <f t="shared" ca="1" si="139"/>
        <v>-4.2223260158804357E-2</v>
      </c>
      <c r="CW131" s="20">
        <f t="shared" ca="1" si="140"/>
        <v>-2.345736675489131E-2</v>
      </c>
      <c r="CX131" s="20">
        <f t="shared" ca="1" si="141"/>
        <v>-1.2418605929060104E-2</v>
      </c>
      <c r="CY131" s="20">
        <f t="shared" ca="1" si="142"/>
        <v>-6.3974636604249022E-3</v>
      </c>
      <c r="CZ131" s="20">
        <f t="shared" ca="1" si="143"/>
        <v>-3.2479430891387967E-3</v>
      </c>
      <c r="DA131" s="21">
        <f t="shared" ca="1" si="144"/>
        <v>3.2479430891387967E-3</v>
      </c>
      <c r="DB131" s="21">
        <f t="shared" ca="1" si="145"/>
        <v>6.3974636604249022E-3</v>
      </c>
      <c r="DC131" s="21">
        <f t="shared" ca="1" si="146"/>
        <v>1.2418605929060104E-2</v>
      </c>
      <c r="DD131" s="21">
        <f t="shared" ca="1" si="147"/>
        <v>2.345736675489131E-2</v>
      </c>
      <c r="DE131" s="21">
        <f t="shared" ca="1" si="148"/>
        <v>4.2223260158804357E-2</v>
      </c>
      <c r="DF131" s="21">
        <f t="shared" ca="1" si="149"/>
        <v>7.0372100264673929E-2</v>
      </c>
      <c r="DG131" s="21">
        <f t="shared" ca="1" si="150"/>
        <v>0.10555815039701089</v>
      </c>
      <c r="DI131" s="16" cm="1">
        <f t="array" aca="1" ref="DI131" ca="1">MAX(_xlfn._xlws.FILTER(CT131:DG131,CT131:DG131&lt;BR131))</f>
        <v>6.3974636604249022E-3</v>
      </c>
      <c r="DJ131" s="16" cm="1">
        <f t="array" aca="1" ref="DJ131" ca="1">MIN(_xlfn._xlws.FILTER(CT131:DG131,CT131:DG131&gt;BR131))</f>
        <v>1.2418605929060104E-2</v>
      </c>
      <c r="DK131" s="2" cm="1">
        <f t="array" aca="1" ref="DK131" ca="1">_FV(EC131,"Fechamento anterior",TRUE)</f>
        <v>16.55</v>
      </c>
      <c r="DL131" s="28">
        <f t="shared" ca="1" si="106"/>
        <v>4.1364579712843789E-2</v>
      </c>
      <c r="DM131" s="15">
        <f t="shared" ca="1" si="151"/>
        <v>16.655878023580033</v>
      </c>
      <c r="DN131" s="15">
        <f t="shared" ca="1" si="152"/>
        <v>16.755527928125947</v>
      </c>
      <c r="DO131" s="9"/>
      <c r="DP131" s="9"/>
      <c r="DQ131" s="9"/>
      <c r="DR131" s="89">
        <v>6.3311029427668801E-3</v>
      </c>
      <c r="DS131" s="89">
        <v>1.1656704467161992E-2</v>
      </c>
      <c r="DT131" s="89">
        <v>6.4958861782775934E-3</v>
      </c>
      <c r="DU131" s="89">
        <v>6.0211422686352019E-3</v>
      </c>
      <c r="DV131" s="89">
        <f t="shared" ca="1" si="107"/>
        <v>6.0211422686352019E-3</v>
      </c>
      <c r="DW131" s="72">
        <f t="shared" ca="1" si="108"/>
        <v>0.38529948159982791</v>
      </c>
      <c r="DX131" s="37"/>
      <c r="DY131" s="35">
        <f t="shared" si="118"/>
        <v>0.5450305801818216</v>
      </c>
      <c r="DZ131" s="56"/>
      <c r="EA131" s="56"/>
      <c r="EC131" s="2" t="e" vm="130">
        <v>#VALUE!</v>
      </c>
      <c r="EE131" s="10" cm="1">
        <f t="array" aca="1" ref="EE131" ca="1">_FV(EC131,"Ações em circulação",TRUE)</f>
        <v>393096600</v>
      </c>
      <c r="EF131" s="18">
        <f>VLOOKUP(BM131,Fundamentus!A:U,5,FALSE)</f>
        <v>0</v>
      </c>
      <c r="EG131" s="2" t="e">
        <f t="shared" ca="1" si="109"/>
        <v>#DIV/0!</v>
      </c>
      <c r="EH131" s="17" t="e">
        <v>#DIV/0!</v>
      </c>
      <c r="EI131" s="17" t="e">
        <f t="shared" ca="1" si="110"/>
        <v>#DIV/0!</v>
      </c>
      <c r="EK131" s="16" t="e">
        <f t="shared" ref="EK131:EK194" ca="1" si="153">(EI131/EH131)-1</f>
        <v>#DIV/0!</v>
      </c>
      <c r="EL131" s="32" t="str">
        <f>IF(VLOOKUP(BM131,Fundamentus!A:U,3,FALSE)&lt;15,"Bom",IF(VLOOKUP(BM131,Fundamentus!A:U,3,FALSE)&gt;15,"Ruim","n/a"))</f>
        <v>Bom</v>
      </c>
      <c r="EM131" s="28" t="str">
        <f>IF(VLOOKUP(BM131,Fundamentus!A:U,4,FALSE)&lt;1,"Baixo",IF(VLOOKUP(BM131,Fundamentus!A:U,4,FALSE)&lt;1.5,"Moderado",IF(VLOOKUP(BM131,Fundamentus!A:U,4,FALSE)&gt;1.5,"Alto","n/a")))</f>
        <v>Baixo</v>
      </c>
      <c r="EN131" s="17" t="str">
        <f>IF(VLOOKUP(BM131,Fundamentus!A:U,8,FALSE)&lt;0,"Risco elevado",IF(VLOOKUP(BM131,Fundamentus!A:U,8,FALSE)&lt;1,"Saudável",IF(VLOOKUP(BM131,Fundamentus!A:U,8,FALSE)&lt;3,"Estável",IF(VLOOKUP(BM131,Fundamentus!A:U,8,FALSE)&gt;3,"Alerta","n/a"))))</f>
        <v>Alerta</v>
      </c>
      <c r="EO131" s="28" t="str">
        <f t="shared" si="111"/>
        <v>Ruim</v>
      </c>
      <c r="EP131" s="17" t="str">
        <f>IF(VLOOKUP(BM131,Fundamentus!A:U,12,FALSE)&lt;2,"Subvalorizada",IF(VLOOKUP(BM131,Fundamentus!A:U,12,FALSE)&lt;6,"Muita barata",IF(VLOOKUP(BM131,Fundamentus!A:U,12,FALSE)&lt;6,"Barata",IF(VLOOKUP(BM131,Fundamentus!A:U,12,FALSE)&lt;8,"Atrativa",IF(VLOOKUP(BM131,Fundamentus!A:U,12,FALSE)&gt;8,"Supervalorizada","n/a")))))</f>
        <v>Subvalorizada</v>
      </c>
      <c r="ER131" s="17" t="str">
        <f>IF(VLOOKUP(BM131,Fundamentus!A:U,17,FALSE)&lt;0.1,"Fraco retorno",IF(VLOOKUP(BM131,Fundamentus!A:U,17,FALSE)&gt;0.1,"Bom retorno","n/a"))</f>
        <v>Bom retorno</v>
      </c>
      <c r="ES131" s="17" t="str">
        <f>IF(VLOOKUP(BM131,Fundamentus!A:U,16,FALSE)&lt;0.1,"Ineficiente",IF(VLOOKUP(BM131,Fundamentus!A:U,16,FALSE)&gt;0.1,"Eficiente","n/a"))</f>
        <v>Ineficiente</v>
      </c>
      <c r="ET131" s="33" t="str">
        <f>IF(VLOOKUP(BM131,Fundamentus!A:U,16,FALSE)&lt;0.1,"Oper. Ineficiente",IF(VLOOKUP(BM131,Fundamentus!A:U,16,FALSE)&gt;0.1,"Oper.Eficiente","n/a"))</f>
        <v>Oper. Ineficiente</v>
      </c>
      <c r="EU131" s="34">
        <f>VLOOKUP(BM131,Fundamentus!A:U,14,FALSE)</f>
        <v>0</v>
      </c>
      <c r="EV131" s="17" t="str">
        <f>IF(VLOOKUP(BM131,Fundamentus!A:U,21,FALSE)&lt;0,"Negativo",IF(VLOOKUP(BM131,Fundamentus!A:U,21,FALSE)&lt;0.05,"Fraco",IF(VLOOKUP(BM131,Fundamentus!A:U,21,FALSE)&lt;0.1,"Bom",IF(VLOOKUP(BM131,Fundamentus!A:U,21,FALSE)&gt;0.1,"Muito bom","n/a"))))</f>
        <v>Fraco</v>
      </c>
      <c r="EX131" s="29" t="str">
        <f>IF(VLOOKUP(BM131,Fundamentus!A:U,15,FALSE)&gt;1,"Bom",IF(VLOOKUP(BM131,Fundamentus!A:U,15,FALSE)&lt;1,"Ruim","n/a"))</f>
        <v>Bom</v>
      </c>
      <c r="EY131" s="17" t="str">
        <f>IF(VLOOKUP(BM131,Fundamentus!A:U,20,FALSE)&lt;0.5,"Baixa",IF(VLOOKUP(BM131,Fundamentus!A:U,20,FALSE)&lt;1,"Moderada",IF(VLOOKUP(BM131,Fundamentus!A:U,20,FALSE)&lt;2,"Alerta",IF(VLOOKUP(BM131,Fundamentus!A:U,20,FALSE)&gt;2,"Alta","n/a"))))</f>
        <v>Baixa</v>
      </c>
      <c r="EZ131" s="10"/>
    </row>
    <row r="132" spans="1:156" s="2" customFormat="1" ht="11.25" x14ac:dyDescent="0.2">
      <c r="A132" s="4">
        <v>19.38</v>
      </c>
      <c r="B132" s="4">
        <v>19.329999999999998</v>
      </c>
      <c r="C132" s="4">
        <v>20.48</v>
      </c>
      <c r="D132" s="4">
        <v>20.54</v>
      </c>
      <c r="E132" s="4">
        <v>20.16</v>
      </c>
      <c r="F132" s="4">
        <v>19.72</v>
      </c>
      <c r="G132" s="4">
        <v>19.61</v>
      </c>
      <c r="H132" s="4">
        <v>20.65</v>
      </c>
      <c r="I132" s="4">
        <v>20.89</v>
      </c>
      <c r="J132" s="4">
        <v>20.69</v>
      </c>
      <c r="K132" s="4">
        <v>20.66</v>
      </c>
      <c r="L132" s="4">
        <v>20.32</v>
      </c>
      <c r="M132" s="4">
        <v>21.81</v>
      </c>
      <c r="N132" s="4">
        <v>21.01</v>
      </c>
      <c r="O132" s="4">
        <v>22.38</v>
      </c>
      <c r="P132" s="4">
        <v>22.99</v>
      </c>
      <c r="Q132" s="4">
        <v>23.53</v>
      </c>
      <c r="R132" s="4">
        <v>23.72</v>
      </c>
      <c r="S132" s="4">
        <v>24.8</v>
      </c>
      <c r="T132" s="4">
        <v>25.44</v>
      </c>
      <c r="U132" s="4">
        <v>24.89</v>
      </c>
      <c r="V132" s="4">
        <v>22.67</v>
      </c>
      <c r="W132" s="4">
        <v>22.83</v>
      </c>
      <c r="X132" s="4">
        <v>21.91</v>
      </c>
      <c r="Y132" s="4">
        <v>23.39</v>
      </c>
      <c r="Z132" s="4">
        <v>22.55</v>
      </c>
      <c r="AA132" s="4">
        <v>23.29</v>
      </c>
      <c r="AB132" s="4">
        <v>23.29</v>
      </c>
      <c r="AC132" s="4">
        <v>24.64</v>
      </c>
      <c r="AD132" s="4">
        <v>25.22</v>
      </c>
      <c r="AE132" s="4">
        <v>25.38</v>
      </c>
      <c r="AF132" s="4">
        <v>24.75</v>
      </c>
      <c r="AG132" s="4">
        <v>22.7</v>
      </c>
      <c r="AH132" s="4">
        <v>21.07</v>
      </c>
      <c r="AI132" s="4">
        <v>20.239999999999998</v>
      </c>
      <c r="AJ132" s="4">
        <v>20.8</v>
      </c>
      <c r="AK132" s="4">
        <v>21.51</v>
      </c>
      <c r="AL132" s="4">
        <v>21.72</v>
      </c>
      <c r="AM132" s="4">
        <v>21.48</v>
      </c>
      <c r="AN132" s="4">
        <v>22.38</v>
      </c>
      <c r="AO132" s="4">
        <v>23.26</v>
      </c>
      <c r="AP132" s="4">
        <v>24.52</v>
      </c>
      <c r="AQ132" s="4">
        <v>23.2</v>
      </c>
      <c r="AR132" s="4">
        <v>23.27</v>
      </c>
      <c r="AS132" s="4">
        <v>22.84</v>
      </c>
      <c r="AT132" s="4">
        <v>24</v>
      </c>
      <c r="AU132" s="4">
        <v>23.934999999999999</v>
      </c>
      <c r="AV132" s="4">
        <v>20.399999999999999</v>
      </c>
      <c r="AW132" s="4">
        <v>19.63</v>
      </c>
      <c r="AX132" s="4">
        <v>19.75</v>
      </c>
      <c r="AY132" s="12">
        <v>20.010000000000002</v>
      </c>
      <c r="AZ132" s="12">
        <v>21.24</v>
      </c>
      <c r="BA132" s="12">
        <v>21.44</v>
      </c>
      <c r="BB132" s="15">
        <v>21.04</v>
      </c>
      <c r="BC132" s="52">
        <v>22.31</v>
      </c>
      <c r="BD132" s="52">
        <v>24.28</v>
      </c>
      <c r="BE132" s="52">
        <v>23.88</v>
      </c>
      <c r="BF132" s="52">
        <v>24.29</v>
      </c>
      <c r="BG132" s="67">
        <v>26.52</v>
      </c>
      <c r="BH132" s="52">
        <v>27.51</v>
      </c>
      <c r="BI132" s="52">
        <v>27.75</v>
      </c>
      <c r="BJ132" s="52">
        <v>28.64</v>
      </c>
      <c r="BK132" s="52">
        <v>27.28</v>
      </c>
      <c r="BL132" s="52" cm="1">
        <f t="array" aca="1" ref="BL132" ca="1">_FV(EC132,"Preço")</f>
        <v>27.28</v>
      </c>
      <c r="BM132" s="66" t="s">
        <v>128</v>
      </c>
      <c r="BN132" s="36" cm="1">
        <f t="array" aca="1" ref="BN132" ca="1">_FV(EC132,"Média de volume",TRUE)</f>
        <v>2521930</v>
      </c>
      <c r="BO132" s="36">
        <v>1813600</v>
      </c>
      <c r="BP132" s="36" cm="1">
        <f t="array" aca="1" ref="BP132" ca="1">_FV(EC132,"Volume")</f>
        <v>1813600</v>
      </c>
      <c r="BQ132" s="24" cm="1">
        <f t="array" aca="1" ref="BQ132" ca="1">_FV(EC132,"Beta")</f>
        <v>0.90549999999999997</v>
      </c>
      <c r="BR132" s="71" cm="1">
        <f t="array" aca="1" ref="BR132" ca="1">_FV(EC132,"Variação (%)",TRUE)</f>
        <v>1.6014999999999998E-2</v>
      </c>
      <c r="BT132" s="17" cm="1">
        <f t="array" aca="1" ref="BT132" ca="1">_FV(EC132,"Baixo")</f>
        <v>26.7</v>
      </c>
      <c r="BU132" s="17" cm="1">
        <f t="array" aca="1" ref="BU132" ca="1">_FV(EC132,"Alto")</f>
        <v>27.5</v>
      </c>
      <c r="BV132" s="24"/>
      <c r="BW132" s="63">
        <f ca="1">SQRT(22.5*(BL132/VLOOKUP(BM132,Fundamentus!A:U,3,FALSE))*(BL132/VLOOKUP(BM132,Fundamentus!A:U,4,FALSE)))</f>
        <v>43.569899788818034</v>
      </c>
      <c r="BY132" s="62">
        <f t="shared" ca="1" si="112"/>
        <v>0</v>
      </c>
      <c r="BZ132" s="8"/>
      <c r="CA132" s="61">
        <f t="shared" si="113"/>
        <v>19.329999999999998</v>
      </c>
      <c r="CB132" s="61">
        <f t="shared" si="114"/>
        <v>28.64</v>
      </c>
      <c r="CC132" s="61">
        <f t="shared" si="115"/>
        <v>22.631984126984129</v>
      </c>
      <c r="CD132" s="14"/>
      <c r="CE132" s="35">
        <f t="shared" si="98"/>
        <v>25.076742517853422</v>
      </c>
      <c r="CF132" s="15">
        <f t="shared" si="116"/>
        <v>27.805000000000021</v>
      </c>
      <c r="CG132" s="35">
        <f t="shared" si="99"/>
        <v>30.53325748214662</v>
      </c>
      <c r="CI132" s="14"/>
      <c r="CJ132" s="17">
        <f t="shared" si="100"/>
        <v>13.123333333333328</v>
      </c>
      <c r="CK132" s="17">
        <f t="shared" si="101"/>
        <v>16.226666666666663</v>
      </c>
      <c r="CL132" s="17">
        <f t="shared" si="102"/>
        <v>22.43333333333333</v>
      </c>
      <c r="CM132" s="38">
        <f t="shared" si="117"/>
        <v>25.536666666666665</v>
      </c>
      <c r="CN132" s="17">
        <f t="shared" si="103"/>
        <v>31.743333333333332</v>
      </c>
      <c r="CO132" s="17">
        <f t="shared" si="104"/>
        <v>34.846666666666664</v>
      </c>
      <c r="CP132" s="17">
        <f t="shared" si="105"/>
        <v>41.053333333333335</v>
      </c>
      <c r="CQ132" s="2" cm="1">
        <f t="array" aca="1" ref="CQ132" ca="1">MAX(_xlfn._xlws.FILTER(CJ132:CP132,CJ132:CP132&lt;BL132))</f>
        <v>25.536666666666665</v>
      </c>
      <c r="CR132" s="2" cm="1">
        <f t="array" aca="1" ref="CR132" ca="1">MIN(_xlfn._xlws.FILTER($CJ132:$CP132,$CJ132:$CP132&gt;BL132))</f>
        <v>31.743333333333332</v>
      </c>
      <c r="CS132" s="16">
        <f t="shared" ca="1" si="136"/>
        <v>0.24304921028586346</v>
      </c>
      <c r="CT132" s="20">
        <f t="shared" ca="1" si="137"/>
        <v>-0.12152460514293173</v>
      </c>
      <c r="CU132" s="20">
        <f t="shared" ca="1" si="138"/>
        <v>-8.1016403428621153E-2</v>
      </c>
      <c r="CV132" s="20">
        <f t="shared" ca="1" si="139"/>
        <v>-4.8609842057172691E-2</v>
      </c>
      <c r="CW132" s="20">
        <f t="shared" ca="1" si="140"/>
        <v>-2.7005467809540384E-2</v>
      </c>
      <c r="CX132" s="20">
        <f t="shared" ca="1" si="141"/>
        <v>-1.4297012369756674E-2</v>
      </c>
      <c r="CY132" s="20">
        <f t="shared" ca="1" si="142"/>
        <v>-7.3651275844201052E-3</v>
      </c>
      <c r="CZ132" s="20">
        <f t="shared" ca="1" si="143"/>
        <v>-3.7392186197825147E-3</v>
      </c>
      <c r="DA132" s="21">
        <f t="shared" ca="1" si="144"/>
        <v>3.7392186197825147E-3</v>
      </c>
      <c r="DB132" s="21">
        <f t="shared" ca="1" si="145"/>
        <v>7.3651275844201052E-3</v>
      </c>
      <c r="DC132" s="21">
        <f t="shared" ca="1" si="146"/>
        <v>1.4297012369756674E-2</v>
      </c>
      <c r="DD132" s="21">
        <f t="shared" ca="1" si="147"/>
        <v>2.7005467809540384E-2</v>
      </c>
      <c r="DE132" s="21">
        <f t="shared" ca="1" si="148"/>
        <v>4.8609842057172691E-2</v>
      </c>
      <c r="DF132" s="21">
        <f t="shared" ca="1" si="149"/>
        <v>8.1016403428621153E-2</v>
      </c>
      <c r="DG132" s="21">
        <f t="shared" ca="1" si="150"/>
        <v>0.12152460514293173</v>
      </c>
      <c r="DI132" s="16" cm="1">
        <f t="array" aca="1" ref="DI132" ca="1">MAX(_xlfn._xlws.FILTER(CT132:DG132,CT132:DG132&lt;BR132))</f>
        <v>1.4297012369756674E-2</v>
      </c>
      <c r="DJ132" s="16" cm="1">
        <f t="array" aca="1" ref="DJ132" ca="1">MIN(_xlfn._xlws.FILTER(CT132:DG132,CT132:DG132&gt;BR132))</f>
        <v>2.7005467809540384E-2</v>
      </c>
      <c r="DK132" s="2" cm="1">
        <f t="array" aca="1" ref="DK132" ca="1">_FV(EC132,"Fechamento anterior",TRUE)</f>
        <v>26.85</v>
      </c>
      <c r="DL132" s="28">
        <f t="shared" ca="1" si="106"/>
        <v>0.13517655371468859</v>
      </c>
      <c r="DM132" s="15">
        <f t="shared" ca="1" si="151"/>
        <v>27.23387478212797</v>
      </c>
      <c r="DN132" s="15">
        <f t="shared" ca="1" si="152"/>
        <v>27.575096810686162</v>
      </c>
      <c r="DO132" s="9"/>
      <c r="DP132" s="9"/>
      <c r="DQ132" s="9"/>
      <c r="DR132" s="89">
        <v>9.0504888249331034E-3</v>
      </c>
      <c r="DS132" s="89">
        <v>2.6493482566440969E-2</v>
      </c>
      <c r="DT132" s="89">
        <v>3.6259089646375905E-3</v>
      </c>
      <c r="DU132" s="89">
        <v>1.270845543978371E-2</v>
      </c>
      <c r="DV132" s="89">
        <f t="shared" ca="1" si="107"/>
        <v>1.270845543978371E-2</v>
      </c>
      <c r="DW132" s="72">
        <f t="shared" ca="1" si="108"/>
        <v>-0.19243051780690021</v>
      </c>
      <c r="DX132" s="37"/>
      <c r="DY132" s="35">
        <f t="shared" si="118"/>
        <v>1.364128741073299</v>
      </c>
      <c r="DZ132" s="56"/>
      <c r="EA132" s="56"/>
      <c r="EC132" s="2" t="e" vm="131">
        <v>#VALUE!</v>
      </c>
      <c r="EE132" s="10" cm="1">
        <f t="array" aca="1" ref="EE132" ca="1">_FV(EC132,"Ações em circulação",TRUE)</f>
        <v>380253100</v>
      </c>
      <c r="EF132" s="18">
        <f>VLOOKUP(BM132,Fundamentus!A:U,5,FALSE)</f>
        <v>1.2490000000000001</v>
      </c>
      <c r="EG132" s="2">
        <f t="shared" ca="1" si="109"/>
        <v>8305287884.7077656</v>
      </c>
      <c r="EH132" s="17">
        <v>1433492688.9005604</v>
      </c>
      <c r="EI132" s="17">
        <f t="shared" ca="1" si="110"/>
        <v>1433492688.9005604</v>
      </c>
      <c r="EK132" s="16">
        <f t="shared" ca="1" si="153"/>
        <v>0</v>
      </c>
      <c r="EL132" s="32" t="str">
        <f>IF(VLOOKUP(BM132,Fundamentus!A:U,3,FALSE)&lt;15,"Bom",IF(VLOOKUP(BM132,Fundamentus!A:U,3,FALSE)&gt;15,"Ruim","n/a"))</f>
        <v>Bom</v>
      </c>
      <c r="EM132" s="28" t="str">
        <f>IF(VLOOKUP(BM132,Fundamentus!A:U,4,FALSE)&lt;1,"Baixo",IF(VLOOKUP(BM132,Fundamentus!A:U,4,FALSE)&lt;1.5,"Moderado",IF(VLOOKUP(BM132,Fundamentus!A:U,4,FALSE)&gt;1.5,"Alto","n/a")))</f>
        <v>Moderado</v>
      </c>
      <c r="EN132" s="17" t="str">
        <f>IF(VLOOKUP(BM132,Fundamentus!A:U,8,FALSE)&lt;0,"Risco elevado",IF(VLOOKUP(BM132,Fundamentus!A:U,8,FALSE)&lt;1,"Saudável",IF(VLOOKUP(BM132,Fundamentus!A:U,8,FALSE)&lt;3,"Estável",IF(VLOOKUP(BM132,Fundamentus!A:U,8,FALSE)&gt;3,"Alerta","n/a"))))</f>
        <v>Alerta</v>
      </c>
      <c r="EO132" s="28" t="str">
        <f t="shared" si="111"/>
        <v>Bom</v>
      </c>
      <c r="EP132" s="17" t="str">
        <f>IF(VLOOKUP(BM132,Fundamentus!A:U,12,FALSE)&lt;2,"Subvalorizada",IF(VLOOKUP(BM132,Fundamentus!A:U,12,FALSE)&lt;6,"Muita barata",IF(VLOOKUP(BM132,Fundamentus!A:U,12,FALSE)&lt;6,"Barata",IF(VLOOKUP(BM132,Fundamentus!A:U,12,FALSE)&lt;8,"Atrativa",IF(VLOOKUP(BM132,Fundamentus!A:U,12,FALSE)&gt;8,"Supervalorizada","n/a")))))</f>
        <v>Muita barata</v>
      </c>
      <c r="ER132" s="17" t="str">
        <f>IF(VLOOKUP(BM132,Fundamentus!A:U,17,FALSE)&lt;0.1,"Fraco retorno",IF(VLOOKUP(BM132,Fundamentus!A:U,17,FALSE)&gt;0.1,"Bom retorno","n/a"))</f>
        <v>Bom retorno</v>
      </c>
      <c r="ES132" s="17" t="str">
        <f>IF(VLOOKUP(BM132,Fundamentus!A:U,16,FALSE)&lt;0.1,"Ineficiente",IF(VLOOKUP(BM132,Fundamentus!A:U,16,FALSE)&gt;0.1,"Eficiente","n/a"))</f>
        <v>Eficiente</v>
      </c>
      <c r="ET132" s="33" t="str">
        <f>IF(VLOOKUP(BM132,Fundamentus!A:U,16,FALSE)&lt;0.1,"Oper. Ineficiente",IF(VLOOKUP(BM132,Fundamentus!A:U,16,FALSE)&gt;0.1,"Oper.Eficiente","n/a"))</f>
        <v>Oper.Eficiente</v>
      </c>
      <c r="EU132" s="34">
        <f>VLOOKUP(BM132,Fundamentus!A:U,14,FALSE)</f>
        <v>0.1726</v>
      </c>
      <c r="EV132" s="17" t="str">
        <f>IF(VLOOKUP(BM132,Fundamentus!A:U,21,FALSE)&lt;0,"Negativo",IF(VLOOKUP(BM132,Fundamentus!A:U,21,FALSE)&lt;0.05,"Fraco",IF(VLOOKUP(BM132,Fundamentus!A:U,21,FALSE)&lt;0.1,"Bom",IF(VLOOKUP(BM132,Fundamentus!A:U,21,FALSE)&gt;0.1,"Muito bom","n/a"))))</f>
        <v>Muito bom</v>
      </c>
      <c r="EX132" s="29" t="str">
        <f>IF(VLOOKUP(BM132,Fundamentus!A:U,15,FALSE)&gt;1,"Bom",IF(VLOOKUP(BM132,Fundamentus!A:U,15,FALSE)&lt;1,"Ruim","n/a"))</f>
        <v>Bom</v>
      </c>
      <c r="EY132" s="17" t="str">
        <f>IF(VLOOKUP(BM132,Fundamentus!A:U,20,FALSE)&lt;0.5,"Baixa",IF(VLOOKUP(BM132,Fundamentus!A:U,20,FALSE)&lt;1,"Moderada",IF(VLOOKUP(BM132,Fundamentus!A:U,20,FALSE)&lt;2,"Alerta",IF(VLOOKUP(BM132,Fundamentus!A:U,20,FALSE)&gt;2,"Alta","n/a"))))</f>
        <v>Moderada</v>
      </c>
      <c r="EZ132" s="10"/>
    </row>
    <row r="133" spans="1:156" s="2" customFormat="1" ht="11.25" x14ac:dyDescent="0.2">
      <c r="A133" s="4">
        <v>49.88</v>
      </c>
      <c r="B133" s="4">
        <v>49.55</v>
      </c>
      <c r="C133" s="4">
        <v>48.4</v>
      </c>
      <c r="D133" s="4">
        <v>45.06</v>
      </c>
      <c r="E133" s="4">
        <v>42.7</v>
      </c>
      <c r="F133" s="4">
        <v>42.75</v>
      </c>
      <c r="G133" s="4">
        <v>40.42</v>
      </c>
      <c r="H133" s="4">
        <v>41.7</v>
      </c>
      <c r="I133" s="4">
        <v>41.76</v>
      </c>
      <c r="J133" s="4">
        <v>43.74</v>
      </c>
      <c r="K133" s="4">
        <v>46.7</v>
      </c>
      <c r="L133" s="4">
        <v>43.41</v>
      </c>
      <c r="M133" s="4">
        <v>43.93</v>
      </c>
      <c r="N133" s="4">
        <v>45.08</v>
      </c>
      <c r="O133" s="4">
        <v>48.85</v>
      </c>
      <c r="P133" s="4">
        <v>42.6</v>
      </c>
      <c r="Q133" s="4">
        <v>42.3</v>
      </c>
      <c r="R133" s="4">
        <v>41.37</v>
      </c>
      <c r="S133" s="4">
        <v>42.02</v>
      </c>
      <c r="T133" s="4">
        <v>44.2</v>
      </c>
      <c r="U133" s="4">
        <v>43</v>
      </c>
      <c r="V133" s="4">
        <v>41.37</v>
      </c>
      <c r="W133" s="4">
        <v>41.9</v>
      </c>
      <c r="X133" s="4">
        <v>41.58</v>
      </c>
      <c r="Y133" s="4">
        <v>42.16</v>
      </c>
      <c r="Z133" s="4">
        <v>42.13</v>
      </c>
      <c r="AA133" s="4">
        <v>40.76</v>
      </c>
      <c r="AB133" s="4">
        <v>40.9</v>
      </c>
      <c r="AC133" s="4">
        <v>44.73</v>
      </c>
      <c r="AD133" s="4">
        <v>44.2</v>
      </c>
      <c r="AE133" s="4">
        <v>37.700000000000003</v>
      </c>
      <c r="AF133" s="4">
        <v>34.82</v>
      </c>
      <c r="AG133" s="4">
        <v>32.229999999999997</v>
      </c>
      <c r="AH133" s="4">
        <v>32.880000000000003</v>
      </c>
      <c r="AI133" s="4">
        <v>32.5</v>
      </c>
      <c r="AJ133" s="4">
        <v>32.28</v>
      </c>
      <c r="AK133" s="4">
        <v>28.87</v>
      </c>
      <c r="AL133" s="4">
        <v>30.44</v>
      </c>
      <c r="AM133" s="4">
        <v>30.32</v>
      </c>
      <c r="AN133" s="4">
        <v>30.87</v>
      </c>
      <c r="AO133" s="4">
        <v>29.94</v>
      </c>
      <c r="AP133" s="4">
        <v>31.61</v>
      </c>
      <c r="AQ133" s="4">
        <v>29.24</v>
      </c>
      <c r="AR133" s="4">
        <v>28.1</v>
      </c>
      <c r="AS133" s="4">
        <v>29.82</v>
      </c>
      <c r="AT133" s="4">
        <v>32.85</v>
      </c>
      <c r="AU133" s="4">
        <v>33.344999999999999</v>
      </c>
      <c r="AV133" s="4">
        <v>34.479999999999997</v>
      </c>
      <c r="AW133" s="4">
        <v>36.1</v>
      </c>
      <c r="AX133" s="4">
        <v>38.57</v>
      </c>
      <c r="AY133" s="12">
        <v>40.25</v>
      </c>
      <c r="AZ133" s="12">
        <v>42.81</v>
      </c>
      <c r="BA133" s="12">
        <v>42.96</v>
      </c>
      <c r="BB133" s="15">
        <v>43.9</v>
      </c>
      <c r="BC133" s="52">
        <v>40.75</v>
      </c>
      <c r="BD133" s="52">
        <v>40.590000000000003</v>
      </c>
      <c r="BE133" s="52">
        <v>42.96</v>
      </c>
      <c r="BF133" s="52">
        <v>43.8</v>
      </c>
      <c r="BG133" s="67">
        <v>44.02</v>
      </c>
      <c r="BH133" s="52">
        <v>43.26</v>
      </c>
      <c r="BI133" s="52">
        <v>40.549999999999997</v>
      </c>
      <c r="BJ133" s="52">
        <v>39.18</v>
      </c>
      <c r="BK133" s="52">
        <v>36.659999999999997</v>
      </c>
      <c r="BL133" s="52" cm="1">
        <f t="array" aca="1" ref="BL133" ca="1">_FV(EC133,"Preço")</f>
        <v>36.659999999999997</v>
      </c>
      <c r="BM133" s="69" t="s">
        <v>129</v>
      </c>
      <c r="BN133" s="36" cm="1">
        <f t="array" aca="1" ref="BN133" ca="1">_FV(EC133,"Média de volume",TRUE)</f>
        <v>8863090</v>
      </c>
      <c r="BO133" s="36">
        <v>10688300</v>
      </c>
      <c r="BP133" s="36" cm="1">
        <f t="array" aca="1" ref="BP133" ca="1">_FV(EC133,"Volume")</f>
        <v>10688300</v>
      </c>
      <c r="BQ133" s="24" cm="1">
        <f t="array" aca="1" ref="BQ133" ca="1">_FV(EC133,"Beta")</f>
        <v>1.1903999999999999</v>
      </c>
      <c r="BR133" s="71" cm="1">
        <f t="array" aca="1" ref="BR133" ca="1">_FV(EC133,"Variação (%)",TRUE)</f>
        <v>-4.1569000000000002E-2</v>
      </c>
      <c r="BT133" s="17" cm="1">
        <f t="array" aca="1" ref="BT133" ca="1">_FV(EC133,"Baixo")</f>
        <v>36.33</v>
      </c>
      <c r="BU133" s="17" cm="1">
        <f t="array" aca="1" ref="BU133" ca="1">_FV(EC133,"Alto")</f>
        <v>38.04</v>
      </c>
      <c r="BV133" s="24"/>
      <c r="BW133" s="63">
        <f ca="1">SQRT(22.5*(BL133/VLOOKUP(BM133,Fundamentus!A:U,3,FALSE))*(BL133/VLOOKUP(BM133,Fundamentus!A:U,4,FALSE)))</f>
        <v>26.037352104246011</v>
      </c>
      <c r="BY133" s="62">
        <f t="shared" ca="1" si="112"/>
        <v>0</v>
      </c>
      <c r="BZ133" s="8"/>
      <c r="CA133" s="61">
        <f t="shared" si="113"/>
        <v>28.1</v>
      </c>
      <c r="CB133" s="61">
        <f t="shared" si="114"/>
        <v>49.88</v>
      </c>
      <c r="CC133" s="61">
        <f t="shared" si="115"/>
        <v>39.647698412698418</v>
      </c>
      <c r="CD133" s="14"/>
      <c r="CE133" s="35">
        <f t="shared" si="98"/>
        <v>33.434384392475735</v>
      </c>
      <c r="CF133" s="15">
        <f t="shared" si="116"/>
        <v>38.854000000001179</v>
      </c>
      <c r="CG133" s="35">
        <f t="shared" si="99"/>
        <v>44.273615607526622</v>
      </c>
      <c r="CI133" s="14"/>
      <c r="CJ133" s="17">
        <f t="shared" si="100"/>
        <v>6.4466666666666654</v>
      </c>
      <c r="CK133" s="17">
        <f t="shared" si="101"/>
        <v>17.273333333333333</v>
      </c>
      <c r="CL133" s="17">
        <f t="shared" si="102"/>
        <v>28.226666666666667</v>
      </c>
      <c r="CM133" s="38">
        <f t="shared" si="117"/>
        <v>39.053333333333335</v>
      </c>
      <c r="CN133" s="17">
        <f t="shared" si="103"/>
        <v>50.006666666666668</v>
      </c>
      <c r="CO133" s="17">
        <f t="shared" si="104"/>
        <v>60.833333333333336</v>
      </c>
      <c r="CP133" s="17">
        <f t="shared" si="105"/>
        <v>71.786666666666662</v>
      </c>
      <c r="CQ133" s="2" cm="1">
        <f t="array" aca="1" ref="CQ133" ca="1">MAX(_xlfn._xlws.FILTER(CJ133:CP133,CJ133:CP133&lt;BL133))</f>
        <v>28.226666666666667</v>
      </c>
      <c r="CR133" s="2" cm="1">
        <f t="array" aca="1" ref="CR133" ca="1">MIN(_xlfn._xlws.FILTER($CJ133:$CP133,$CJ133:$CP133&gt;BL133))</f>
        <v>39.053333333333335</v>
      </c>
      <c r="CS133" s="16">
        <f t="shared" ca="1" si="136"/>
        <v>0.38356164383561642</v>
      </c>
      <c r="CT133" s="20">
        <f t="shared" ca="1" si="137"/>
        <v>-0.19178082191780821</v>
      </c>
      <c r="CU133" s="20">
        <f t="shared" ca="1" si="138"/>
        <v>-0.12785388127853881</v>
      </c>
      <c r="CV133" s="20">
        <f t="shared" ca="1" si="139"/>
        <v>-7.6712328767123278E-2</v>
      </c>
      <c r="CW133" s="20">
        <f t="shared" ca="1" si="140"/>
        <v>-4.2617960426179602E-2</v>
      </c>
      <c r="CX133" s="20">
        <f t="shared" ca="1" si="141"/>
        <v>-2.2562449637389202E-2</v>
      </c>
      <c r="CY133" s="20">
        <f t="shared" ca="1" si="142"/>
        <v>-1.16230801162308E-2</v>
      </c>
      <c r="CZ133" s="20">
        <f t="shared" ca="1" si="143"/>
        <v>-5.9009483667017909E-3</v>
      </c>
      <c r="DA133" s="21">
        <f t="shared" ca="1" si="144"/>
        <v>5.9009483667017909E-3</v>
      </c>
      <c r="DB133" s="21">
        <f t="shared" ca="1" si="145"/>
        <v>1.16230801162308E-2</v>
      </c>
      <c r="DC133" s="21">
        <f t="shared" ca="1" si="146"/>
        <v>2.2562449637389202E-2</v>
      </c>
      <c r="DD133" s="21">
        <f t="shared" ca="1" si="147"/>
        <v>4.2617960426179602E-2</v>
      </c>
      <c r="DE133" s="21">
        <f t="shared" ca="1" si="148"/>
        <v>7.6712328767123278E-2</v>
      </c>
      <c r="DF133" s="21">
        <f t="shared" ca="1" si="149"/>
        <v>0.12785388127853881</v>
      </c>
      <c r="DG133" s="21">
        <f t="shared" ca="1" si="150"/>
        <v>0.19178082191780821</v>
      </c>
      <c r="DI133" s="16" cm="1">
        <f t="array" aca="1" ref="DI133" ca="1">MAX(_xlfn._xlws.FILTER(CT133:DG133,CT133:DG133&lt;BR133))</f>
        <v>-4.2617960426179602E-2</v>
      </c>
      <c r="DJ133" s="16" cm="1">
        <f t="array" aca="1" ref="DJ133" ca="1">MIN(_xlfn._xlws.FILTER(CT133:DG133,CT133:DG133&gt;BR133))</f>
        <v>-2.2562449637389202E-2</v>
      </c>
      <c r="DK133" s="2" cm="1">
        <f t="array" aca="1" ref="DK133" ca="1">_FV(EC133,"Fechamento anterior",TRUE)</f>
        <v>38.25</v>
      </c>
      <c r="DL133" s="28">
        <f t="shared" ca="1" si="106"/>
        <v>5.2321428571419339E-2</v>
      </c>
      <c r="DM133" s="15">
        <f t="shared" ca="1" si="151"/>
        <v>36.619863013698634</v>
      </c>
      <c r="DN133" s="15">
        <f t="shared" ca="1" si="152"/>
        <v>37.386986301369866</v>
      </c>
      <c r="DO133" s="9"/>
      <c r="DP133" s="9"/>
      <c r="DQ133" s="9"/>
      <c r="DR133" s="89">
        <v>5.0824820416561379E-3</v>
      </c>
      <c r="DS133" s="89">
        <v>8.8133017737646452E-3</v>
      </c>
      <c r="DT133" s="89">
        <v>8.6298815557948362E-3</v>
      </c>
      <c r="DU133" s="89">
        <v>2.00555107887904E-2</v>
      </c>
      <c r="DV133" s="89">
        <f t="shared" ca="1" si="107"/>
        <v>2.00555107887904E-2</v>
      </c>
      <c r="DW133" s="72">
        <f t="shared" ca="1" si="108"/>
        <v>-0.40482575866721776</v>
      </c>
      <c r="DX133" s="37"/>
      <c r="DY133" s="35">
        <f t="shared" si="118"/>
        <v>2.7098078037627205</v>
      </c>
      <c r="DZ133" s="56"/>
      <c r="EA133" s="56"/>
      <c r="EC133" s="2" t="e" vm="132">
        <v>#VALUE!</v>
      </c>
      <c r="EE133" s="10" cm="1">
        <f t="array" aca="1" ref="EE133" ca="1">_FV(EC133,"Ações em circulação",TRUE)</f>
        <v>1082621000</v>
      </c>
      <c r="EF133" s="18">
        <f>VLOOKUP(BM133,Fundamentus!A:U,5,FALSE)</f>
        <v>1.2310000000000001</v>
      </c>
      <c r="EG133" s="2">
        <f t="shared" ca="1" si="109"/>
        <v>32241174541.023556</v>
      </c>
      <c r="EH133" s="17">
        <v>1599162257.2347684</v>
      </c>
      <c r="EI133" s="17">
        <f t="shared" ca="1" si="110"/>
        <v>1599162257.2347684</v>
      </c>
      <c r="EK133" s="16">
        <f t="shared" ca="1" si="153"/>
        <v>0</v>
      </c>
      <c r="EL133" s="32" t="str">
        <f>IF(VLOOKUP(BM133,Fundamentus!A:U,3,FALSE)&lt;15,"Bom",IF(VLOOKUP(BM133,Fundamentus!A:U,3,FALSE)&gt;15,"Ruim","n/a"))</f>
        <v>Ruim</v>
      </c>
      <c r="EM133" s="28" t="str">
        <f>IF(VLOOKUP(BM133,Fundamentus!A:U,4,FALSE)&lt;1,"Baixo",IF(VLOOKUP(BM133,Fundamentus!A:U,4,FALSE)&lt;1.5,"Moderado",IF(VLOOKUP(BM133,Fundamentus!A:U,4,FALSE)&gt;1.5,"Alto","n/a")))</f>
        <v>Alto</v>
      </c>
      <c r="EN133" s="17" t="str">
        <f>IF(VLOOKUP(BM133,Fundamentus!A:U,8,FALSE)&lt;0,"Risco elevado",IF(VLOOKUP(BM133,Fundamentus!A:U,8,FALSE)&lt;1,"Saudável",IF(VLOOKUP(BM133,Fundamentus!A:U,8,FALSE)&lt;3,"Estável",IF(VLOOKUP(BM133,Fundamentus!A:U,8,FALSE)&gt;3,"Alerta","n/a"))))</f>
        <v>Alerta</v>
      </c>
      <c r="EO133" s="28" t="str">
        <f t="shared" si="111"/>
        <v>Bom</v>
      </c>
      <c r="EP133" s="17" t="str">
        <f>IF(VLOOKUP(BM133,Fundamentus!A:U,12,FALSE)&lt;2,"Subvalorizada",IF(VLOOKUP(BM133,Fundamentus!A:U,12,FALSE)&lt;6,"Muita barata",IF(VLOOKUP(BM133,Fundamentus!A:U,12,FALSE)&lt;6,"Barata",IF(VLOOKUP(BM133,Fundamentus!A:U,12,FALSE)&lt;8,"Atrativa",IF(VLOOKUP(BM133,Fundamentus!A:U,12,FALSE)&gt;8,"Supervalorizada","n/a")))))</f>
        <v>Atrativa</v>
      </c>
      <c r="ER133" s="17" t="str">
        <f>IF(VLOOKUP(BM133,Fundamentus!A:U,17,FALSE)&lt;0.1,"Fraco retorno",IF(VLOOKUP(BM133,Fundamentus!A:U,17,FALSE)&gt;0.1,"Bom retorno","n/a"))</f>
        <v>Fraco retorno</v>
      </c>
      <c r="ES133" s="17" t="str">
        <f>IF(VLOOKUP(BM133,Fundamentus!A:U,16,FALSE)&lt;0.1,"Ineficiente",IF(VLOOKUP(BM133,Fundamentus!A:U,16,FALSE)&gt;0.1,"Eficiente","n/a"))</f>
        <v>Ineficiente</v>
      </c>
      <c r="ET133" s="33" t="str">
        <f>IF(VLOOKUP(BM133,Fundamentus!A:U,16,FALSE)&lt;0.1,"Oper. Ineficiente",IF(VLOOKUP(BM133,Fundamentus!A:U,16,FALSE)&gt;0.1,"Oper.Eficiente","n/a"))</f>
        <v>Oper. Ineficiente</v>
      </c>
      <c r="EU133" s="34">
        <f>VLOOKUP(BM133,Fundamentus!A:U,14,FALSE)</f>
        <v>4.9599999999999998E-2</v>
      </c>
      <c r="EV133" s="17" t="str">
        <f>IF(VLOOKUP(BM133,Fundamentus!A:U,21,FALSE)&lt;0,"Negativo",IF(VLOOKUP(BM133,Fundamentus!A:U,21,FALSE)&lt;0.05,"Fraco",IF(VLOOKUP(BM133,Fundamentus!A:U,21,FALSE)&lt;0.1,"Bom",IF(VLOOKUP(BM133,Fundamentus!A:U,21,FALSE)&gt;0.1,"Muito bom","n/a"))))</f>
        <v>Muito bom</v>
      </c>
      <c r="EX133" s="29" t="str">
        <f>IF(VLOOKUP(BM133,Fundamentus!A:U,15,FALSE)&gt;1,"Bom",IF(VLOOKUP(BM133,Fundamentus!A:U,15,FALSE)&lt;1,"Ruim","n/a"))</f>
        <v>Bom</v>
      </c>
      <c r="EY133" s="17" t="str">
        <f>IF(VLOOKUP(BM133,Fundamentus!A:U,20,FALSE)&lt;0.5,"Baixa",IF(VLOOKUP(BM133,Fundamentus!A:U,20,FALSE)&lt;1,"Moderada",IF(VLOOKUP(BM133,Fundamentus!A:U,20,FALSE)&lt;2,"Alerta",IF(VLOOKUP(BM133,Fundamentus!A:U,20,FALSE)&gt;2,"Alta","n/a"))))</f>
        <v>Alerta</v>
      </c>
      <c r="EZ133" s="10"/>
    </row>
    <row r="134" spans="1:156" s="2" customFormat="1" ht="11.25" x14ac:dyDescent="0.2">
      <c r="A134" s="4">
        <v>11.2</v>
      </c>
      <c r="B134" s="4">
        <v>10.39</v>
      </c>
      <c r="C134" s="4">
        <v>9.93</v>
      </c>
      <c r="D134" s="4">
        <v>9.9700000000000006</v>
      </c>
      <c r="E134" s="4">
        <v>9.51</v>
      </c>
      <c r="F134" s="4">
        <v>9.35</v>
      </c>
      <c r="G134" s="4">
        <v>9.33</v>
      </c>
      <c r="H134" s="4">
        <v>10.15</v>
      </c>
      <c r="I134" s="4">
        <v>11</v>
      </c>
      <c r="J134" s="4">
        <v>11.75</v>
      </c>
      <c r="K134" s="4">
        <v>12.28</v>
      </c>
      <c r="L134" s="4">
        <v>11.73</v>
      </c>
      <c r="M134" s="4">
        <v>10.98</v>
      </c>
      <c r="N134" s="4">
        <v>10.67</v>
      </c>
      <c r="O134" s="4">
        <v>11.18</v>
      </c>
      <c r="P134" s="4">
        <v>10.91</v>
      </c>
      <c r="Q134" s="4">
        <v>11.28</v>
      </c>
      <c r="R134" s="4">
        <v>11.01</v>
      </c>
      <c r="S134" s="4">
        <v>10.94</v>
      </c>
      <c r="T134" s="4">
        <v>11.14</v>
      </c>
      <c r="U134" s="4">
        <v>11.1</v>
      </c>
      <c r="V134" s="4">
        <v>10.9</v>
      </c>
      <c r="W134" s="4">
        <v>10.6</v>
      </c>
      <c r="X134" s="4">
        <v>10.73</v>
      </c>
      <c r="Y134" s="4">
        <v>10.89</v>
      </c>
      <c r="Z134" s="4">
        <v>10.93</v>
      </c>
      <c r="AA134" s="4">
        <v>10.4</v>
      </c>
      <c r="AB134" s="4">
        <v>10.47</v>
      </c>
      <c r="AC134" s="4">
        <v>10.53</v>
      </c>
      <c r="AD134" s="4">
        <v>10.62</v>
      </c>
      <c r="AE134" s="4">
        <v>10.42</v>
      </c>
      <c r="AF134" s="4">
        <v>10.210000000000001</v>
      </c>
      <c r="AG134" s="4">
        <v>10.23</v>
      </c>
      <c r="AH134" s="4">
        <v>9.77</v>
      </c>
      <c r="AI134" s="4">
        <v>9.89</v>
      </c>
      <c r="AJ134" s="4">
        <v>9.6999999999999993</v>
      </c>
      <c r="AK134" s="4">
        <v>8.9</v>
      </c>
      <c r="AL134" s="4">
        <v>8.1199999999999992</v>
      </c>
      <c r="AM134" s="4">
        <v>8.83</v>
      </c>
      <c r="AN134" s="4">
        <v>9.11</v>
      </c>
      <c r="AO134" s="4">
        <v>8.58</v>
      </c>
      <c r="AP134" s="4">
        <v>9.4499999999999993</v>
      </c>
      <c r="AQ134" s="4">
        <v>9.26</v>
      </c>
      <c r="AR134" s="4">
        <v>8.9700000000000006</v>
      </c>
      <c r="AS134" s="4">
        <v>9.1999999999999993</v>
      </c>
      <c r="AT134" s="4">
        <v>9.34</v>
      </c>
      <c r="AU134" s="4">
        <v>9.19</v>
      </c>
      <c r="AV134" s="4">
        <v>8.68</v>
      </c>
      <c r="AW134" s="4">
        <v>8.36</v>
      </c>
      <c r="AX134" s="4">
        <v>7.98</v>
      </c>
      <c r="AY134" s="12">
        <v>8.56</v>
      </c>
      <c r="AZ134" s="12">
        <v>9.2100000000000009</v>
      </c>
      <c r="BA134" s="12">
        <v>8.9700000000000006</v>
      </c>
      <c r="BB134" s="15">
        <v>8.52</v>
      </c>
      <c r="BC134" s="52">
        <v>8.2899999999999991</v>
      </c>
      <c r="BD134" s="52">
        <v>8.25</v>
      </c>
      <c r="BE134" s="52">
        <v>9.07</v>
      </c>
      <c r="BF134" s="52">
        <v>8.99</v>
      </c>
      <c r="BG134" s="67">
        <v>8.65</v>
      </c>
      <c r="BH134" s="52">
        <v>8.8000000000000007</v>
      </c>
      <c r="BI134" s="52">
        <v>8.6199999999999992</v>
      </c>
      <c r="BJ134" s="52">
        <v>8.77</v>
      </c>
      <c r="BK134" s="52">
        <v>8.0399999999999991</v>
      </c>
      <c r="BL134" s="52" cm="1">
        <f t="array" aca="1" ref="BL134" ca="1">_FV(EC134,"Preço")</f>
        <v>8.0399999999999991</v>
      </c>
      <c r="BM134" s="69" t="s">
        <v>130</v>
      </c>
      <c r="BN134" s="36" cm="1">
        <f t="array" aca="1" ref="BN134" ca="1">_FV(EC134,"Média de volume",TRUE)</f>
        <v>2422220</v>
      </c>
      <c r="BO134" s="36">
        <v>4381700</v>
      </c>
      <c r="BP134" s="36" cm="1">
        <f t="array" aca="1" ref="BP134" ca="1">_FV(EC134,"Volume")</f>
        <v>4381700</v>
      </c>
      <c r="BQ134" s="24" cm="1">
        <f t="array" aca="1" ref="BQ134" ca="1">_FV(EC134,"Beta")</f>
        <v>0.79959999999999998</v>
      </c>
      <c r="BR134" s="71" cm="1">
        <f t="array" aca="1" ref="BR134" ca="1">_FV(EC134,"Variação (%)",TRUE)</f>
        <v>-4.0572999999999998E-2</v>
      </c>
      <c r="BT134" s="17" cm="1">
        <f t="array" aca="1" ref="BT134" ca="1">_FV(EC134,"Baixo")</f>
        <v>8.02</v>
      </c>
      <c r="BU134" s="17" cm="1">
        <f t="array" aca="1" ref="BU134" ca="1">_FV(EC134,"Alto")</f>
        <v>8.41</v>
      </c>
      <c r="BV134" s="24"/>
      <c r="BW134" s="63">
        <f ca="1">SQRT(22.5*(BL134/VLOOKUP(BM134,Fundamentus!A:U,3,FALSE))*(BL134/VLOOKUP(BM134,Fundamentus!A:U,4,FALSE)))</f>
        <v>13.305391710178007</v>
      </c>
      <c r="BY134" s="62">
        <f t="shared" ca="1" si="112"/>
        <v>0</v>
      </c>
      <c r="BZ134" s="8"/>
      <c r="CA134" s="61">
        <f t="shared" si="113"/>
        <v>7.98</v>
      </c>
      <c r="CB134" s="61">
        <f t="shared" si="114"/>
        <v>12.28</v>
      </c>
      <c r="CC134" s="61">
        <f t="shared" si="115"/>
        <v>9.8222222222222193</v>
      </c>
      <c r="CD134" s="14"/>
      <c r="CE134" s="35">
        <f t="shared" ref="CE134:CE197" si="154">CF134-DY134*2</f>
        <v>7.859194851886782</v>
      </c>
      <c r="CF134" s="15">
        <f t="shared" si="116"/>
        <v>8.4510000000000218</v>
      </c>
      <c r="CG134" s="35">
        <f t="shared" ref="CG134:CG197" si="155">CF134+DY134*2</f>
        <v>9.0428051481132616</v>
      </c>
      <c r="CI134" s="14"/>
      <c r="CJ134" s="17">
        <f t="shared" ref="CJ134:CJ197" si="156">CA134-2*(CB134-CM134)</f>
        <v>2.7733333333333334</v>
      </c>
      <c r="CK134" s="17">
        <f t="shared" ref="CK134:CK197" si="157">CM134-(CB134-CA134)</f>
        <v>5.3766666666666669</v>
      </c>
      <c r="CL134" s="17">
        <f t="shared" ref="CL134:CL197" si="158">2*CM134-CB134</f>
        <v>7.0733333333333324</v>
      </c>
      <c r="CM134" s="38">
        <f t="shared" si="117"/>
        <v>9.6766666666666659</v>
      </c>
      <c r="CN134" s="17">
        <f t="shared" ref="CN134:CN197" si="159">2*CM134-CA134</f>
        <v>11.373333333333331</v>
      </c>
      <c r="CO134" s="17">
        <f t="shared" ref="CO134:CO197" si="160">CM134+(CB134-CA134)</f>
        <v>13.976666666666665</v>
      </c>
      <c r="CP134" s="17">
        <f t="shared" ref="CP134:CP197" si="161">CB134+2*(CM134-CA134)</f>
        <v>15.67333333333333</v>
      </c>
      <c r="CQ134" s="2" cm="1">
        <f t="array" aca="1" ref="CQ134" ca="1">MAX(_xlfn._xlws.FILTER(CJ134:CP134,CJ134:CP134&lt;BL134))</f>
        <v>7.0733333333333324</v>
      </c>
      <c r="CR134" s="2" cm="1">
        <f t="array" aca="1" ref="CR134" ca="1">MIN(_xlfn._xlws.FILTER($CJ134:$CP134,$CJ134:$CP134&gt;BL134))</f>
        <v>9.6766666666666659</v>
      </c>
      <c r="CS134" s="16">
        <f t="shared" ca="1" si="136"/>
        <v>0.36804901036757776</v>
      </c>
      <c r="CT134" s="20">
        <f t="shared" ca="1" si="137"/>
        <v>-0.18402450518378888</v>
      </c>
      <c r="CU134" s="20">
        <f t="shared" ca="1" si="138"/>
        <v>-0.12268300345585925</v>
      </c>
      <c r="CV134" s="20">
        <f t="shared" ca="1" si="139"/>
        <v>-7.3609802073515557E-2</v>
      </c>
      <c r="CW134" s="20">
        <f t="shared" ca="1" si="140"/>
        <v>-4.089433448528642E-2</v>
      </c>
      <c r="CX134" s="20">
        <f t="shared" ca="1" si="141"/>
        <v>-2.1649941786328102E-2</v>
      </c>
      <c r="CY134" s="20">
        <f t="shared" ca="1" si="142"/>
        <v>-1.1153000314169022E-2</v>
      </c>
      <c r="CZ134" s="20">
        <f t="shared" ca="1" si="143"/>
        <v>-5.6622924671935037E-3</v>
      </c>
      <c r="DA134" s="21">
        <f t="shared" ca="1" si="144"/>
        <v>5.6622924671935037E-3</v>
      </c>
      <c r="DB134" s="21">
        <f t="shared" ca="1" si="145"/>
        <v>1.1153000314169022E-2</v>
      </c>
      <c r="DC134" s="21">
        <f t="shared" ca="1" si="146"/>
        <v>2.1649941786328102E-2</v>
      </c>
      <c r="DD134" s="21">
        <f t="shared" ca="1" si="147"/>
        <v>4.089433448528642E-2</v>
      </c>
      <c r="DE134" s="21">
        <f t="shared" ca="1" si="148"/>
        <v>7.3609802073515557E-2</v>
      </c>
      <c r="DF134" s="21">
        <f t="shared" ca="1" si="149"/>
        <v>0.12268300345585925</v>
      </c>
      <c r="DG134" s="21">
        <f t="shared" ca="1" si="150"/>
        <v>0.18402450518378888</v>
      </c>
      <c r="DI134" s="16" cm="1">
        <f t="array" aca="1" ref="DI134" ca="1">MAX(_xlfn._xlws.FILTER(CT134:DG134,CT134:DG134&lt;BR134))</f>
        <v>-4.089433448528642E-2</v>
      </c>
      <c r="DJ134" s="16" cm="1">
        <f t="array" aca="1" ref="DJ134" ca="1">MIN(_xlfn._xlws.FILTER(CT134:DG134,CT134:DG134&gt;BR134))</f>
        <v>-2.1649941786328102E-2</v>
      </c>
      <c r="DK134" s="2" cm="1">
        <f t="array" aca="1" ref="DK134" ca="1">_FV(EC134,"Fechamento anterior",TRUE)</f>
        <v>8.3800000000000008</v>
      </c>
      <c r="DL134" s="28">
        <f t="shared" ref="DL134:DL197" ca="1" si="162">(BL134-DM134)/(DN134-DM134)</f>
        <v>1.6708353833125258E-2</v>
      </c>
      <c r="DM134" s="15">
        <f t="shared" ca="1" si="151"/>
        <v>8.0373054770132999</v>
      </c>
      <c r="DN134" s="15">
        <f t="shared" ca="1" si="152"/>
        <v>8.198573487830572</v>
      </c>
      <c r="DO134" s="9"/>
      <c r="DP134" s="9"/>
      <c r="DQ134" s="9"/>
      <c r="DR134" s="89">
        <v>6.3473336479471405E-3</v>
      </c>
      <c r="DS134" s="89">
        <v>1.976360928864716E-2</v>
      </c>
      <c r="DT134" s="89">
        <v>5.4907078469755184E-3</v>
      </c>
      <c r="DU134" s="89">
        <v>1.9244392698958317E-2</v>
      </c>
      <c r="DV134" s="89">
        <f t="shared" ref="DV134:DV197" ca="1" si="163">DJ134-DI134</f>
        <v>1.9244392698958317E-2</v>
      </c>
      <c r="DW134" s="72">
        <f t="shared" ref="DW134:DW197" ca="1" si="164">(BL134-CF134)/(CF134-CE134)</f>
        <v>-0.69448534084292779</v>
      </c>
      <c r="DX134" s="37"/>
      <c r="DY134" s="35">
        <f t="shared" si="118"/>
        <v>0.29590257405662013</v>
      </c>
      <c r="DZ134" s="56"/>
      <c r="EA134" s="56"/>
      <c r="EC134" s="2" t="e" vm="133">
        <v>#VALUE!</v>
      </c>
      <c r="EE134" s="10" cm="1">
        <f t="array" aca="1" ref="EE134" ca="1">_FV(EC134,"Ações em circulação",TRUE)</f>
        <v>329330500</v>
      </c>
      <c r="EF134" s="18">
        <f>VLOOKUP(BM134,Fundamentus!A:U,5,FALSE)</f>
        <v>0.22700000000000001</v>
      </c>
      <c r="EG134" s="2">
        <f t="shared" ref="EG134:EG197" ca="1" si="165">(BL134*EE134)/EF134</f>
        <v>11664393039.647575</v>
      </c>
      <c r="EH134" s="17">
        <v>537728519.12775326</v>
      </c>
      <c r="EI134" s="17">
        <f t="shared" ref="EI134:EI197" ca="1" si="166">EG134*EU134</f>
        <v>537728519.12775326</v>
      </c>
      <c r="EK134" s="16">
        <f t="shared" ca="1" si="153"/>
        <v>0</v>
      </c>
      <c r="EL134" s="32" t="str">
        <f>IF(VLOOKUP(BM134,Fundamentus!A:U,3,FALSE)&lt;15,"Bom",IF(VLOOKUP(BM134,Fundamentus!A:U,3,FALSE)&gt;15,"Ruim","n/a"))</f>
        <v>Bom</v>
      </c>
      <c r="EM134" s="28" t="str">
        <f>IF(VLOOKUP(BM134,Fundamentus!A:U,4,FALSE)&lt;1,"Baixo",IF(VLOOKUP(BM134,Fundamentus!A:U,4,FALSE)&lt;1.5,"Moderado",IF(VLOOKUP(BM134,Fundamentus!A:U,4,FALSE)&gt;1.5,"Alto","n/a")))</f>
        <v>Baixo</v>
      </c>
      <c r="EN134" s="17" t="str">
        <f>IF(VLOOKUP(BM134,Fundamentus!A:U,8,FALSE)&lt;0,"Risco elevado",IF(VLOOKUP(BM134,Fundamentus!A:U,8,FALSE)&lt;1,"Saudável",IF(VLOOKUP(BM134,Fundamentus!A:U,8,FALSE)&lt;3,"Estável",IF(VLOOKUP(BM134,Fundamentus!A:U,8,FALSE)&gt;3,"Alerta","n/a"))))</f>
        <v>Saudável</v>
      </c>
      <c r="EO134" s="28" t="str">
        <f t="shared" ref="EO134:EO197" si="167">IF(EF134&gt;1,"Bom","Ruim")</f>
        <v>Ruim</v>
      </c>
      <c r="EP134" s="17" t="str">
        <f>IF(VLOOKUP(BM134,Fundamentus!A:U,12,FALSE)&lt;2,"Subvalorizada",IF(VLOOKUP(BM134,Fundamentus!A:U,12,FALSE)&lt;6,"Muita barata",IF(VLOOKUP(BM134,Fundamentus!A:U,12,FALSE)&lt;6,"Barata",IF(VLOOKUP(BM134,Fundamentus!A:U,12,FALSE)&lt;8,"Atrativa",IF(VLOOKUP(BM134,Fundamentus!A:U,12,FALSE)&gt;8,"Supervalorizada","n/a")))))</f>
        <v>Muita barata</v>
      </c>
      <c r="ER134" s="17" t="str">
        <f>IF(VLOOKUP(BM134,Fundamentus!A:U,17,FALSE)&lt;0.1,"Fraco retorno",IF(VLOOKUP(BM134,Fundamentus!A:U,17,FALSE)&gt;0.1,"Bom retorno","n/a"))</f>
        <v>Bom retorno</v>
      </c>
      <c r="ES134" s="17" t="str">
        <f>IF(VLOOKUP(BM134,Fundamentus!A:U,16,FALSE)&lt;0.1,"Ineficiente",IF(VLOOKUP(BM134,Fundamentus!A:U,16,FALSE)&gt;0.1,"Eficiente","n/a"))</f>
        <v>Ineficiente</v>
      </c>
      <c r="ET134" s="33" t="str">
        <f>IF(VLOOKUP(BM134,Fundamentus!A:U,16,FALSE)&lt;0.1,"Oper. Ineficiente",IF(VLOOKUP(BM134,Fundamentus!A:U,16,FALSE)&gt;0.1,"Oper.Eficiente","n/a"))</f>
        <v>Oper. Ineficiente</v>
      </c>
      <c r="EU134" s="34">
        <f>VLOOKUP(BM134,Fundamentus!A:U,14,FALSE)</f>
        <v>4.6100000000000002E-2</v>
      </c>
      <c r="EV134" s="17" t="str">
        <f>IF(VLOOKUP(BM134,Fundamentus!A:U,21,FALSE)&lt;0,"Negativo",IF(VLOOKUP(BM134,Fundamentus!A:U,21,FALSE)&lt;0.05,"Fraco",IF(VLOOKUP(BM134,Fundamentus!A:U,21,FALSE)&lt;0.1,"Bom",IF(VLOOKUP(BM134,Fundamentus!A:U,21,FALSE)&gt;0.1,"Muito bom","n/a"))))</f>
        <v>Muito bom</v>
      </c>
      <c r="EX134" s="29" t="str">
        <f>IF(VLOOKUP(BM134,Fundamentus!A:U,15,FALSE)&gt;1,"Bom",IF(VLOOKUP(BM134,Fundamentus!A:U,15,FALSE)&lt;1,"Ruim","n/a"))</f>
        <v>Bom</v>
      </c>
      <c r="EY134" s="17" t="str">
        <f>IF(VLOOKUP(BM134,Fundamentus!A:U,20,FALSE)&lt;0.5,"Baixa",IF(VLOOKUP(BM134,Fundamentus!A:U,20,FALSE)&lt;1,"Moderada",IF(VLOOKUP(BM134,Fundamentus!A:U,20,FALSE)&lt;2,"Alerta",IF(VLOOKUP(BM134,Fundamentus!A:U,20,FALSE)&gt;2,"Alta","n/a"))))</f>
        <v>Alta</v>
      </c>
      <c r="EZ134" s="10"/>
    </row>
    <row r="135" spans="1:156" s="2" customFormat="1" ht="11.25" x14ac:dyDescent="0.2">
      <c r="A135" s="4">
        <v>9.5</v>
      </c>
      <c r="B135" s="4">
        <v>9.26</v>
      </c>
      <c r="C135" s="4">
        <v>8.82</v>
      </c>
      <c r="D135" s="4">
        <v>8.5</v>
      </c>
      <c r="E135" s="4">
        <v>8.1999999999999993</v>
      </c>
      <c r="F135" s="4">
        <v>8.1</v>
      </c>
      <c r="G135" s="4">
        <v>7.91</v>
      </c>
      <c r="H135" s="4">
        <v>8.6300000000000008</v>
      </c>
      <c r="I135" s="4">
        <v>9.26</v>
      </c>
      <c r="J135" s="4">
        <v>10.1</v>
      </c>
      <c r="K135" s="4">
        <v>10.4</v>
      </c>
      <c r="L135" s="4">
        <v>9.85</v>
      </c>
      <c r="M135" s="4">
        <v>9.5500000000000007</v>
      </c>
      <c r="N135" s="4">
        <v>8.9</v>
      </c>
      <c r="O135" s="4">
        <v>9.3000000000000007</v>
      </c>
      <c r="P135" s="4">
        <v>8.85</v>
      </c>
      <c r="Q135" s="4">
        <v>9.06</v>
      </c>
      <c r="R135" s="4">
        <v>8.93</v>
      </c>
      <c r="S135" s="4">
        <v>8.6999999999999993</v>
      </c>
      <c r="T135" s="4">
        <v>8.84</v>
      </c>
      <c r="U135" s="4">
        <v>8.64</v>
      </c>
      <c r="V135" s="4">
        <v>8.85</v>
      </c>
      <c r="W135" s="4">
        <v>8.76</v>
      </c>
      <c r="X135" s="4">
        <v>8.74</v>
      </c>
      <c r="Y135" s="4">
        <v>9.14</v>
      </c>
      <c r="Z135" s="4">
        <v>9.39</v>
      </c>
      <c r="AA135" s="4">
        <v>9.15</v>
      </c>
      <c r="AB135" s="4">
        <v>9.32</v>
      </c>
      <c r="AC135" s="4">
        <v>9.35</v>
      </c>
      <c r="AD135" s="4">
        <v>9.07</v>
      </c>
      <c r="AE135" s="4">
        <v>8.89</v>
      </c>
      <c r="AF135" s="4">
        <v>8.73</v>
      </c>
      <c r="AG135" s="4">
        <v>8.6300000000000008</v>
      </c>
      <c r="AH135" s="4">
        <v>8.17</v>
      </c>
      <c r="AI135" s="4">
        <v>8.2100000000000009</v>
      </c>
      <c r="AJ135" s="4">
        <v>8.1999999999999993</v>
      </c>
      <c r="AK135" s="4">
        <v>7.97</v>
      </c>
      <c r="AL135" s="4">
        <v>7.46</v>
      </c>
      <c r="AM135" s="4">
        <v>7.89</v>
      </c>
      <c r="AN135" s="4">
        <v>8</v>
      </c>
      <c r="AO135" s="4">
        <v>7.8</v>
      </c>
      <c r="AP135" s="4">
        <v>8.5399999999999991</v>
      </c>
      <c r="AQ135" s="4">
        <v>8.27</v>
      </c>
      <c r="AR135" s="4">
        <v>8.3000000000000007</v>
      </c>
      <c r="AS135" s="4">
        <v>8.34</v>
      </c>
      <c r="AT135" s="4">
        <v>8.64</v>
      </c>
      <c r="AU135" s="4">
        <v>8.5500000000000007</v>
      </c>
      <c r="AV135" s="4">
        <v>8.08</v>
      </c>
      <c r="AW135" s="4">
        <v>7.95</v>
      </c>
      <c r="AX135" s="4">
        <v>7.83</v>
      </c>
      <c r="AY135" s="12">
        <v>8.06</v>
      </c>
      <c r="AZ135" s="12">
        <v>8.3000000000000007</v>
      </c>
      <c r="BA135" s="12">
        <v>8.1999999999999993</v>
      </c>
      <c r="BB135" s="15">
        <v>7.85</v>
      </c>
      <c r="BC135" s="52">
        <v>7.58</v>
      </c>
      <c r="BD135" s="52">
        <v>7.66</v>
      </c>
      <c r="BE135" s="52">
        <v>8.02</v>
      </c>
      <c r="BF135" s="52">
        <v>8.15</v>
      </c>
      <c r="BG135" s="67">
        <v>8.0299999999999994</v>
      </c>
      <c r="BH135" s="52">
        <v>8.3000000000000007</v>
      </c>
      <c r="BI135" s="52">
        <v>8.23</v>
      </c>
      <c r="BJ135" s="52">
        <v>8.27</v>
      </c>
      <c r="BK135" s="52">
        <v>7.91</v>
      </c>
      <c r="BL135" s="52" cm="1">
        <f t="array" aca="1" ref="BL135" ca="1">_FV(EC135,"Preço")</f>
        <v>7.91</v>
      </c>
      <c r="BM135" s="69" t="s">
        <v>131</v>
      </c>
      <c r="BN135" s="36" cm="1">
        <f t="array" aca="1" ref="BN135" ca="1">_FV(EC135,"Média de volume",TRUE)</f>
        <v>2422220</v>
      </c>
      <c r="BO135" s="36">
        <v>104700</v>
      </c>
      <c r="BP135" s="36" cm="1">
        <f t="array" aca="1" ref="BP135" ca="1">_FV(EC135,"Volume")</f>
        <v>104700</v>
      </c>
      <c r="BQ135" s="24" cm="1">
        <f t="array" aca="1" ref="BQ135" ca="1">_FV(EC135,"Beta")</f>
        <v>0.79959999999999998</v>
      </c>
      <c r="BR135" s="71" cm="1">
        <f t="array" aca="1" ref="BR135" ca="1">_FV(EC135,"Variação (%)",TRUE)</f>
        <v>-2.9447999999999998E-2</v>
      </c>
      <c r="BT135" s="17" cm="1">
        <f t="array" aca="1" ref="BT135" ca="1">_FV(EC135,"Baixo")</f>
        <v>7.8</v>
      </c>
      <c r="BU135" s="17" cm="1">
        <f t="array" aca="1" ref="BU135" ca="1">_FV(EC135,"Alto")</f>
        <v>8.1199999999999992</v>
      </c>
      <c r="BV135" s="24"/>
      <c r="BW135" s="63">
        <f ca="1">SQRT(22.5*(BL135/VLOOKUP(BM135,Fundamentus!A:U,3,FALSE))*(BL135/VLOOKUP(BM135,Fundamentus!A:U,4,FALSE)))</f>
        <v>14.13451836393952</v>
      </c>
      <c r="BY135" s="62">
        <f t="shared" ref="BY135:BY198" ca="1" si="168">(BL135 - BK135) / BK135</f>
        <v>0</v>
      </c>
      <c r="BZ135" s="8"/>
      <c r="CA135" s="61">
        <f t="shared" ref="CA135:CA198" si="169">MIN(A135:BK135)</f>
        <v>7.46</v>
      </c>
      <c r="CB135" s="61">
        <f t="shared" ref="CB135:CB198" si="170">MAX(A135:BK135)</f>
        <v>10.4</v>
      </c>
      <c r="CC135" s="61">
        <f t="shared" ref="CC135:CC198" si="171">AVERAGE(A135:BK135)</f>
        <v>8.5726984126984096</v>
      </c>
      <c r="CD135" s="14"/>
      <c r="CE135" s="35">
        <f t="shared" si="154"/>
        <v>7.8437716544876706</v>
      </c>
      <c r="CF135" s="15">
        <f t="shared" ref="CF135:CF198" si="172">FORECAST("04/07/2025", BH135:BK135, $BH$5:$BK$5)</f>
        <v>8.1210000000000946</v>
      </c>
      <c r="CG135" s="35">
        <f t="shared" si="155"/>
        <v>8.3982283455125177</v>
      </c>
      <c r="CI135" s="14"/>
      <c r="CJ135" s="17">
        <f t="shared" si="156"/>
        <v>4.0799999999999974</v>
      </c>
      <c r="CK135" s="17">
        <f t="shared" si="157"/>
        <v>5.7699999999999987</v>
      </c>
      <c r="CL135" s="17">
        <f t="shared" si="158"/>
        <v>7.0199999999999978</v>
      </c>
      <c r="CM135" s="38">
        <f t="shared" ref="CM135:CM198" si="173">(CB135+CA135+BJ135)/3</f>
        <v>8.7099999999999991</v>
      </c>
      <c r="CN135" s="17">
        <f t="shared" si="159"/>
        <v>9.9599999999999973</v>
      </c>
      <c r="CO135" s="17">
        <f t="shared" si="160"/>
        <v>11.649999999999999</v>
      </c>
      <c r="CP135" s="17">
        <f t="shared" si="161"/>
        <v>12.899999999999999</v>
      </c>
      <c r="CQ135" s="2" cm="1">
        <f t="array" aca="1" ref="CQ135" ca="1">MAX(_xlfn._xlws.FILTER(CJ135:CP135,CJ135:CP135&lt;BL135))</f>
        <v>7.0199999999999978</v>
      </c>
      <c r="CR135" s="2" cm="1">
        <f t="array" aca="1" ref="CR135" ca="1">MIN(_xlfn._xlws.FILTER($CJ135:$CP135,$CJ135:$CP135&gt;BL135))</f>
        <v>8.7099999999999991</v>
      </c>
      <c r="CS135" s="16">
        <f t="shared" ca="1" si="136"/>
        <v>0.24074074074074092</v>
      </c>
      <c r="CT135" s="20">
        <f t="shared" ca="1" si="137"/>
        <v>-0.12037037037037046</v>
      </c>
      <c r="CU135" s="20">
        <f t="shared" ca="1" si="138"/>
        <v>-8.0246913580246979E-2</v>
      </c>
      <c r="CV135" s="20">
        <f t="shared" ca="1" si="139"/>
        <v>-4.8148148148148183E-2</v>
      </c>
      <c r="CW135" s="20">
        <f t="shared" ca="1" si="140"/>
        <v>-2.6748971193415658E-2</v>
      </c>
      <c r="CX135" s="20">
        <f t="shared" ca="1" si="141"/>
        <v>-1.4161220043572995E-2</v>
      </c>
      <c r="CY135" s="20">
        <f t="shared" ca="1" si="142"/>
        <v>-7.2951739618406343E-3</v>
      </c>
      <c r="CZ135" s="20">
        <f t="shared" ca="1" si="143"/>
        <v>-3.7037037037037064E-3</v>
      </c>
      <c r="DA135" s="21">
        <f t="shared" ca="1" si="144"/>
        <v>3.7037037037037064E-3</v>
      </c>
      <c r="DB135" s="21">
        <f t="shared" ca="1" si="145"/>
        <v>7.2951739618406343E-3</v>
      </c>
      <c r="DC135" s="21">
        <f t="shared" ca="1" si="146"/>
        <v>1.4161220043572995E-2</v>
      </c>
      <c r="DD135" s="21">
        <f t="shared" ca="1" si="147"/>
        <v>2.6748971193415658E-2</v>
      </c>
      <c r="DE135" s="21">
        <f t="shared" ca="1" si="148"/>
        <v>4.8148148148148183E-2</v>
      </c>
      <c r="DF135" s="21">
        <f t="shared" ca="1" si="149"/>
        <v>8.0246913580246979E-2</v>
      </c>
      <c r="DG135" s="21">
        <f t="shared" ca="1" si="150"/>
        <v>0.12037037037037046</v>
      </c>
      <c r="DI135" s="16" cm="1">
        <f t="array" aca="1" ref="DI135" ca="1">MAX(_xlfn._xlws.FILTER(CT135:DG135,CT135:DG135&lt;BR135))</f>
        <v>-4.8148148148148183E-2</v>
      </c>
      <c r="DJ135" s="16" cm="1">
        <f t="array" aca="1" ref="DJ135" ca="1">MIN(_xlfn._xlws.FILTER(CT135:DG135,CT135:DG135&gt;BR135))</f>
        <v>-2.6748971193415658E-2</v>
      </c>
      <c r="DK135" s="2" cm="1">
        <f t="array" aca="1" ref="DK135" ca="1">_FV(EC135,"Fechamento anterior",TRUE)</f>
        <v>8.15</v>
      </c>
      <c r="DL135" s="28">
        <f t="shared" ca="1" si="162"/>
        <v>0.87387918829636524</v>
      </c>
      <c r="DM135" s="15">
        <f t="shared" ca="1" si="151"/>
        <v>7.7575925925925926</v>
      </c>
      <c r="DN135" s="15">
        <f t="shared" ca="1" si="152"/>
        <v>7.9319958847736629</v>
      </c>
      <c r="DO135" s="9"/>
      <c r="DP135" s="9"/>
      <c r="DQ135" s="9"/>
      <c r="DR135" s="89">
        <v>5.0235478806907432E-3</v>
      </c>
      <c r="DS135" s="89">
        <v>7.9389997757344649E-3</v>
      </c>
      <c r="DT135" s="89">
        <v>6.8660460817323602E-3</v>
      </c>
      <c r="DU135" s="89">
        <v>2.1399176954732525E-2</v>
      </c>
      <c r="DV135" s="89">
        <f t="shared" ca="1" si="163"/>
        <v>2.1399176954732525E-2</v>
      </c>
      <c r="DW135" s="72">
        <f t="shared" ca="1" si="164"/>
        <v>-0.76110543317670398</v>
      </c>
      <c r="DX135" s="37"/>
      <c r="DY135" s="35">
        <f t="shared" ref="DY135:DY198" si="174">_xlfn.STDEV.P(BF135:BK135)</f>
        <v>0.13861417275621182</v>
      </c>
      <c r="DZ135" s="56"/>
      <c r="EA135" s="56"/>
      <c r="EC135" s="2" t="e" vm="134">
        <v>#VALUE!</v>
      </c>
      <c r="EE135" s="10" cm="1">
        <f t="array" aca="1" ref="EE135" ca="1">_FV(EC135,"Ações em circulação",TRUE)</f>
        <v>329330500</v>
      </c>
      <c r="EF135" s="18">
        <f>VLOOKUP(BM135,Fundamentus!A:U,5,FALSE)</f>
        <v>0.21</v>
      </c>
      <c r="EG135" s="2">
        <f t="shared" ca="1" si="165"/>
        <v>12404782166.666668</v>
      </c>
      <c r="EH135" s="17">
        <v>571860457.88333344</v>
      </c>
      <c r="EI135" s="17">
        <f t="shared" ca="1" si="166"/>
        <v>571860457.88333344</v>
      </c>
      <c r="EK135" s="16">
        <f t="shared" ca="1" si="153"/>
        <v>0</v>
      </c>
      <c r="EL135" s="32" t="str">
        <f>IF(VLOOKUP(BM135,Fundamentus!A:U,3,FALSE)&lt;15,"Bom",IF(VLOOKUP(BM135,Fundamentus!A:U,3,FALSE)&gt;15,"Ruim","n/a"))</f>
        <v>Bom</v>
      </c>
      <c r="EM135" s="28" t="str">
        <f>IF(VLOOKUP(BM135,Fundamentus!A:U,4,FALSE)&lt;1,"Baixo",IF(VLOOKUP(BM135,Fundamentus!A:U,4,FALSE)&lt;1.5,"Moderado",IF(VLOOKUP(BM135,Fundamentus!A:U,4,FALSE)&gt;1.5,"Alto","n/a")))</f>
        <v>Baixo</v>
      </c>
      <c r="EN135" s="17" t="str">
        <f>IF(VLOOKUP(BM135,Fundamentus!A:U,8,FALSE)&lt;0,"Risco elevado",IF(VLOOKUP(BM135,Fundamentus!A:U,8,FALSE)&lt;1,"Saudável",IF(VLOOKUP(BM135,Fundamentus!A:U,8,FALSE)&lt;3,"Estável",IF(VLOOKUP(BM135,Fundamentus!A:U,8,FALSE)&gt;3,"Alerta","n/a"))))</f>
        <v>Saudável</v>
      </c>
      <c r="EO135" s="28" t="str">
        <f t="shared" si="167"/>
        <v>Ruim</v>
      </c>
      <c r="EP135" s="17" t="str">
        <f>IF(VLOOKUP(BM135,Fundamentus!A:U,12,FALSE)&lt;2,"Subvalorizada",IF(VLOOKUP(BM135,Fundamentus!A:U,12,FALSE)&lt;6,"Muita barata",IF(VLOOKUP(BM135,Fundamentus!A:U,12,FALSE)&lt;6,"Barata",IF(VLOOKUP(BM135,Fundamentus!A:U,12,FALSE)&lt;8,"Atrativa",IF(VLOOKUP(BM135,Fundamentus!A:U,12,FALSE)&gt;8,"Supervalorizada","n/a")))))</f>
        <v>Muita barata</v>
      </c>
      <c r="ER135" s="17" t="str">
        <f>IF(VLOOKUP(BM135,Fundamentus!A:U,17,FALSE)&lt;0.1,"Fraco retorno",IF(VLOOKUP(BM135,Fundamentus!A:U,17,FALSE)&gt;0.1,"Bom retorno","n/a"))</f>
        <v>Bom retorno</v>
      </c>
      <c r="ES135" s="17" t="str">
        <f>IF(VLOOKUP(BM135,Fundamentus!A:U,16,FALSE)&lt;0.1,"Ineficiente",IF(VLOOKUP(BM135,Fundamentus!A:U,16,FALSE)&gt;0.1,"Eficiente","n/a"))</f>
        <v>Ineficiente</v>
      </c>
      <c r="ET135" s="33" t="str">
        <f>IF(VLOOKUP(BM135,Fundamentus!A:U,16,FALSE)&lt;0.1,"Oper. Ineficiente",IF(VLOOKUP(BM135,Fundamentus!A:U,16,FALSE)&gt;0.1,"Oper.Eficiente","n/a"))</f>
        <v>Oper. Ineficiente</v>
      </c>
      <c r="EU135" s="34">
        <f>VLOOKUP(BM135,Fundamentus!A:U,14,FALSE)</f>
        <v>4.6100000000000002E-2</v>
      </c>
      <c r="EV135" s="17" t="str">
        <f>IF(VLOOKUP(BM135,Fundamentus!A:U,21,FALSE)&lt;0,"Negativo",IF(VLOOKUP(BM135,Fundamentus!A:U,21,FALSE)&lt;0.05,"Fraco",IF(VLOOKUP(BM135,Fundamentus!A:U,21,FALSE)&lt;0.1,"Bom",IF(VLOOKUP(BM135,Fundamentus!A:U,21,FALSE)&gt;0.1,"Muito bom","n/a"))))</f>
        <v>Muito bom</v>
      </c>
      <c r="EX135" s="29" t="str">
        <f>IF(VLOOKUP(BM135,Fundamentus!A:U,15,FALSE)&gt;1,"Bom",IF(VLOOKUP(BM135,Fundamentus!A:U,15,FALSE)&lt;1,"Ruim","n/a"))</f>
        <v>Bom</v>
      </c>
      <c r="EY135" s="17" t="str">
        <f>IF(VLOOKUP(BM135,Fundamentus!A:U,20,FALSE)&lt;0.5,"Baixa",IF(VLOOKUP(BM135,Fundamentus!A:U,20,FALSE)&lt;1,"Moderada",IF(VLOOKUP(BM135,Fundamentus!A:U,20,FALSE)&lt;2,"Alerta",IF(VLOOKUP(BM135,Fundamentus!A:U,20,FALSE)&gt;2,"Alta","n/a"))))</f>
        <v>Alta</v>
      </c>
      <c r="EZ135" s="10"/>
    </row>
    <row r="136" spans="1:156" s="2" customFormat="1" ht="11.25" x14ac:dyDescent="0.2">
      <c r="A136" s="4">
        <v>2.2999999999999998</v>
      </c>
      <c r="B136" s="4">
        <v>2.06</v>
      </c>
      <c r="C136" s="4">
        <v>2.2400000000000002</v>
      </c>
      <c r="D136" s="4">
        <v>2.06</v>
      </c>
      <c r="E136" s="4">
        <v>2.1</v>
      </c>
      <c r="F136" s="4">
        <v>2.16</v>
      </c>
      <c r="G136" s="4">
        <v>2.09</v>
      </c>
      <c r="H136" s="4">
        <v>2.12</v>
      </c>
      <c r="I136" s="4">
        <v>2.17</v>
      </c>
      <c r="J136" s="4">
        <v>2.14</v>
      </c>
      <c r="K136" s="4">
        <v>2.62</v>
      </c>
      <c r="L136" s="4">
        <v>2.62</v>
      </c>
      <c r="M136" s="4">
        <v>2.75</v>
      </c>
      <c r="N136" s="4">
        <v>2.73</v>
      </c>
      <c r="O136" s="4">
        <v>3.08</v>
      </c>
      <c r="P136" s="4">
        <v>2.8</v>
      </c>
      <c r="Q136" s="4">
        <v>2.72</v>
      </c>
      <c r="R136" s="4">
        <v>2.94</v>
      </c>
      <c r="S136" s="4">
        <v>2.65</v>
      </c>
      <c r="T136" s="4">
        <v>2.78</v>
      </c>
      <c r="U136" s="4">
        <v>2.46</v>
      </c>
      <c r="V136" s="4">
        <v>2.7</v>
      </c>
      <c r="W136" s="4">
        <v>2.2400000000000002</v>
      </c>
      <c r="X136" s="4">
        <v>2.14</v>
      </c>
      <c r="Y136" s="4">
        <v>2.0299999999999998</v>
      </c>
      <c r="Z136" s="4">
        <v>2.09</v>
      </c>
      <c r="AA136" s="4">
        <v>2.09</v>
      </c>
      <c r="AB136" s="4">
        <v>1.95</v>
      </c>
      <c r="AC136" s="4">
        <v>2.09</v>
      </c>
      <c r="AD136" s="4">
        <v>2.2000000000000002</v>
      </c>
      <c r="AE136" s="4">
        <v>1.96</v>
      </c>
      <c r="AF136" s="4">
        <v>1.77</v>
      </c>
      <c r="AG136" s="4">
        <v>1.59</v>
      </c>
      <c r="AH136" s="4">
        <v>1.43</v>
      </c>
      <c r="AI136" s="4">
        <v>1.48</v>
      </c>
      <c r="AJ136" s="4">
        <v>1.41</v>
      </c>
      <c r="AK136" s="4">
        <v>1.43</v>
      </c>
      <c r="AL136" s="4">
        <v>1.52</v>
      </c>
      <c r="AM136" s="4">
        <v>1.54</v>
      </c>
      <c r="AN136" s="4">
        <v>1.59</v>
      </c>
      <c r="AO136" s="4">
        <v>1.35</v>
      </c>
      <c r="AP136" s="4">
        <v>1.41</v>
      </c>
      <c r="AQ136" s="4">
        <v>1.39</v>
      </c>
      <c r="AR136" s="4">
        <v>1.39</v>
      </c>
      <c r="AS136" s="4">
        <v>1.32</v>
      </c>
      <c r="AT136" s="4">
        <v>1.2</v>
      </c>
      <c r="AU136" s="4">
        <v>1.1599999999999999</v>
      </c>
      <c r="AV136" s="4">
        <v>1.1399999999999999</v>
      </c>
      <c r="AW136" s="4">
        <v>1.03</v>
      </c>
      <c r="AX136" s="4">
        <v>1</v>
      </c>
      <c r="AY136" s="12">
        <v>1.04</v>
      </c>
      <c r="AZ136" s="12">
        <v>1.1599999999999999</v>
      </c>
      <c r="BA136" s="12">
        <v>1.06</v>
      </c>
      <c r="BB136" s="15">
        <v>1</v>
      </c>
      <c r="BC136" s="52">
        <v>1.01</v>
      </c>
      <c r="BD136" s="52">
        <v>0.94</v>
      </c>
      <c r="BE136" s="52">
        <v>0.98</v>
      </c>
      <c r="BF136" s="52">
        <v>0.97</v>
      </c>
      <c r="BG136" s="67">
        <v>0.96</v>
      </c>
      <c r="BH136" s="52">
        <v>0.99</v>
      </c>
      <c r="BI136" s="52">
        <v>0.89</v>
      </c>
      <c r="BJ136" s="52">
        <v>0.88</v>
      </c>
      <c r="BK136" s="52">
        <v>1.0900000000000001</v>
      </c>
      <c r="BL136" s="52" cm="1">
        <f t="array" aca="1" ref="BL136" ca="1">_FV(EC136,"Preço")</f>
        <v>1.0900000000000001</v>
      </c>
      <c r="BM136" s="69" t="s">
        <v>132</v>
      </c>
      <c r="BN136" s="36" cm="1">
        <f t="array" aca="1" ref="BN136" ca="1">_FV(EC136,"Média de volume",TRUE)</f>
        <v>961920</v>
      </c>
      <c r="BO136" s="36">
        <v>152900</v>
      </c>
      <c r="BP136" s="36" cm="1">
        <f t="array" aca="1" ref="BP136" ca="1">_FV(EC136,"Volume")</f>
        <v>152900</v>
      </c>
      <c r="BQ136" s="24" cm="1">
        <f t="array" aca="1" ref="BQ136" ca="1">_FV(EC136,"Beta")</f>
        <v>1.5035000000000001</v>
      </c>
      <c r="BR136" s="71" cm="1">
        <f t="array" aca="1" ref="BR136" ca="1">_FV(EC136,"Variação (%)",TRUE)</f>
        <v>9.2589999999999999E-3</v>
      </c>
      <c r="BT136" s="17" cm="1">
        <f t="array" aca="1" ref="BT136" ca="1">_FV(EC136,"Baixo")</f>
        <v>1.03</v>
      </c>
      <c r="BU136" s="17" cm="1">
        <f t="array" aca="1" ref="BU136" ca="1">_FV(EC136,"Alto")</f>
        <v>1.1000000000000001</v>
      </c>
      <c r="BV136" s="24"/>
      <c r="BW136" s="63" t="e">
        <f ca="1">SQRT(22.5*(BL136/VLOOKUP(BM136,Fundamentus!A:U,3,FALSE))*(BL136/VLOOKUP(BM136,Fundamentus!A:U,4,FALSE)))</f>
        <v>#NUM!</v>
      </c>
      <c r="BY136" s="62">
        <f t="shared" ca="1" si="168"/>
        <v>0</v>
      </c>
      <c r="BZ136" s="8"/>
      <c r="CA136" s="61">
        <f t="shared" si="169"/>
        <v>0.88</v>
      </c>
      <c r="CB136" s="61">
        <f t="shared" si="170"/>
        <v>3.08</v>
      </c>
      <c r="CC136" s="61">
        <f t="shared" si="171"/>
        <v>1.7809523809523811</v>
      </c>
      <c r="CD136" s="14"/>
      <c r="CE136" s="35">
        <f t="shared" si="154"/>
        <v>0.83763636693089139</v>
      </c>
      <c r="CF136" s="15">
        <f t="shared" si="172"/>
        <v>0.97700000000000387</v>
      </c>
      <c r="CG136" s="35">
        <f t="shared" si="155"/>
        <v>1.1163636330691165</v>
      </c>
      <c r="CI136" s="14"/>
      <c r="CJ136" s="17">
        <f t="shared" si="156"/>
        <v>-2.0533333333333337</v>
      </c>
      <c r="CK136" s="17">
        <f t="shared" si="157"/>
        <v>-0.58666666666666689</v>
      </c>
      <c r="CL136" s="17">
        <f t="shared" si="158"/>
        <v>0.1466666666666665</v>
      </c>
      <c r="CM136" s="38">
        <f t="shared" si="173"/>
        <v>1.6133333333333333</v>
      </c>
      <c r="CN136" s="17">
        <f t="shared" si="159"/>
        <v>2.3466666666666667</v>
      </c>
      <c r="CO136" s="17">
        <f t="shared" si="160"/>
        <v>3.8133333333333335</v>
      </c>
      <c r="CP136" s="17">
        <f t="shared" si="161"/>
        <v>4.5466666666666669</v>
      </c>
      <c r="CQ136" s="2" cm="1">
        <f t="array" aca="1" ref="CQ136" ca="1">MAX(_xlfn._xlws.FILTER(CJ136:CP136,CJ136:CP136&lt;BL136))</f>
        <v>0.1466666666666665</v>
      </c>
      <c r="CR136" s="2" cm="1">
        <f t="array" aca="1" ref="CR136" ca="1">MIN(_xlfn._xlws.FILTER($CJ136:$CP136,$CJ136:$CP136&gt;BL136))</f>
        <v>1.6133333333333333</v>
      </c>
      <c r="CS136" s="16">
        <f t="shared" ca="1" si="136"/>
        <v>10.000000000000012</v>
      </c>
      <c r="CT136" s="20">
        <f t="shared" ca="1" si="137"/>
        <v>-5.0000000000000062</v>
      </c>
      <c r="CU136" s="20">
        <f t="shared" ca="1" si="138"/>
        <v>-3.3333333333333375</v>
      </c>
      <c r="CV136" s="20">
        <f t="shared" ca="1" si="139"/>
        <v>-2.0000000000000027</v>
      </c>
      <c r="CW136" s="20">
        <f t="shared" ca="1" si="140"/>
        <v>-1.1111111111111125</v>
      </c>
      <c r="CX136" s="20">
        <f t="shared" ca="1" si="141"/>
        <v>-0.58823529411764774</v>
      </c>
      <c r="CY136" s="20">
        <f t="shared" ca="1" si="142"/>
        <v>-0.30303030303030343</v>
      </c>
      <c r="CZ136" s="20">
        <f t="shared" ca="1" si="143"/>
        <v>-0.15384615384615405</v>
      </c>
      <c r="DA136" s="21">
        <f t="shared" ca="1" si="144"/>
        <v>0.15384615384615405</v>
      </c>
      <c r="DB136" s="21">
        <f t="shared" ca="1" si="145"/>
        <v>0.30303030303030343</v>
      </c>
      <c r="DC136" s="21">
        <f t="shared" ca="1" si="146"/>
        <v>0.58823529411764774</v>
      </c>
      <c r="DD136" s="21">
        <f t="shared" ca="1" si="147"/>
        <v>1.1111111111111125</v>
      </c>
      <c r="DE136" s="21">
        <f t="shared" ca="1" si="148"/>
        <v>2.0000000000000027</v>
      </c>
      <c r="DF136" s="21">
        <f t="shared" ca="1" si="149"/>
        <v>3.3333333333333375</v>
      </c>
      <c r="DG136" s="21">
        <f t="shared" ca="1" si="150"/>
        <v>5.0000000000000062</v>
      </c>
      <c r="DI136" s="16" cm="1">
        <f t="array" aca="1" ref="DI136" ca="1">MAX(_xlfn._xlws.FILTER(CT136:DG136,CT136:DG136&lt;BR136))</f>
        <v>-0.15384615384615405</v>
      </c>
      <c r="DJ136" s="16" cm="1">
        <f t="array" aca="1" ref="DJ136" ca="1">MIN(_xlfn._xlws.FILTER(CT136:DG136,CT136:DG136&gt;BR136))</f>
        <v>0.15384615384615405</v>
      </c>
      <c r="DK136" s="2" cm="1">
        <f t="array" aca="1" ref="DK136" ca="1">_FV(EC136,"Fechamento anterior",TRUE)</f>
        <v>1.08</v>
      </c>
      <c r="DL136" s="28">
        <f t="shared" ca="1" si="162"/>
        <v>0.53009259259259256</v>
      </c>
      <c r="DM136" s="15">
        <f t="shared" ca="1" si="151"/>
        <v>0.91384615384615375</v>
      </c>
      <c r="DN136" s="15">
        <f t="shared" ca="1" si="152"/>
        <v>1.2461538461538464</v>
      </c>
      <c r="DO136" s="9"/>
      <c r="DP136" s="9"/>
      <c r="DQ136" s="9"/>
      <c r="DR136" s="89">
        <v>1.0769230769230662</v>
      </c>
      <c r="DS136" s="89">
        <v>0.18205128205128226</v>
      </c>
      <c r="DT136" s="89">
        <v>0.3076923076923081</v>
      </c>
      <c r="DU136" s="89">
        <v>0.3076923076923081</v>
      </c>
      <c r="DV136" s="89">
        <f t="shared" ca="1" si="163"/>
        <v>0.3076923076923081</v>
      </c>
      <c r="DW136" s="72">
        <f t="shared" ca="1" si="164"/>
        <v>0.81082846013319598</v>
      </c>
      <c r="DX136" s="37"/>
      <c r="DY136" s="35">
        <f t="shared" si="174"/>
        <v>6.9681816534556254E-2</v>
      </c>
      <c r="DZ136" s="56"/>
      <c r="EA136" s="56"/>
      <c r="EC136" s="2" t="e" vm="135">
        <v>#VALUE!</v>
      </c>
      <c r="EE136" s="10" cm="1">
        <f t="array" aca="1" ref="EE136" ca="1">_FV(EC136,"Ações em circulação",TRUE)</f>
        <v>122763400</v>
      </c>
      <c r="EF136" s="18">
        <f>VLOOKUP(BM136,Fundamentus!A:U,5,FALSE)</f>
        <v>0.182</v>
      </c>
      <c r="EG136" s="2">
        <f t="shared" ca="1" si="165"/>
        <v>735231351.64835179</v>
      </c>
      <c r="EH136" s="17">
        <v>-157560078.65824178</v>
      </c>
      <c r="EI136" s="17">
        <f t="shared" ca="1" si="166"/>
        <v>-157560078.65824178</v>
      </c>
      <c r="EK136" s="16">
        <f t="shared" ca="1" si="153"/>
        <v>0</v>
      </c>
      <c r="EL136" s="32" t="str">
        <f>IF(VLOOKUP(BM136,Fundamentus!A:U,3,FALSE)&lt;15,"Bom",IF(VLOOKUP(BM136,Fundamentus!A:U,3,FALSE)&gt;15,"Ruim","n/a"))</f>
        <v>Bom</v>
      </c>
      <c r="EM136" s="28" t="str">
        <f>IF(VLOOKUP(BM136,Fundamentus!A:U,4,FALSE)&lt;1,"Baixo",IF(VLOOKUP(BM136,Fundamentus!A:U,4,FALSE)&lt;1.5,"Moderado",IF(VLOOKUP(BM136,Fundamentus!A:U,4,FALSE)&gt;1.5,"Alto","n/a")))</f>
        <v>Alto</v>
      </c>
      <c r="EN136" s="17" t="str">
        <f>IF(VLOOKUP(BM136,Fundamentus!A:U,8,FALSE)&lt;0,"Risco elevado",IF(VLOOKUP(BM136,Fundamentus!A:U,8,FALSE)&lt;1,"Saudável",IF(VLOOKUP(BM136,Fundamentus!A:U,8,FALSE)&lt;3,"Estável",IF(VLOOKUP(BM136,Fundamentus!A:U,8,FALSE)&gt;3,"Alerta","n/a"))))</f>
        <v>Alerta</v>
      </c>
      <c r="EO136" s="28" t="str">
        <f t="shared" si="167"/>
        <v>Ruim</v>
      </c>
      <c r="EP136" s="17" t="str">
        <f>IF(VLOOKUP(BM136,Fundamentus!A:U,12,FALSE)&lt;2,"Subvalorizada",IF(VLOOKUP(BM136,Fundamentus!A:U,12,FALSE)&lt;6,"Muita barata",IF(VLOOKUP(BM136,Fundamentus!A:U,12,FALSE)&lt;6,"Barata",IF(VLOOKUP(BM136,Fundamentus!A:U,12,FALSE)&lt;8,"Atrativa",IF(VLOOKUP(BM136,Fundamentus!A:U,12,FALSE)&gt;8,"Supervalorizada","n/a")))))</f>
        <v>Muita barata</v>
      </c>
      <c r="ER136" s="17" t="str">
        <f>IF(VLOOKUP(BM136,Fundamentus!A:U,17,FALSE)&lt;0.1,"Fraco retorno",IF(VLOOKUP(BM136,Fundamentus!A:U,17,FALSE)&gt;0.1,"Bom retorno","n/a"))</f>
        <v>Fraco retorno</v>
      </c>
      <c r="ES136" s="17" t="str">
        <f>IF(VLOOKUP(BM136,Fundamentus!A:U,16,FALSE)&lt;0.1,"Ineficiente",IF(VLOOKUP(BM136,Fundamentus!A:U,16,FALSE)&gt;0.1,"Eficiente","n/a"))</f>
        <v>Ineficiente</v>
      </c>
      <c r="ET136" s="33" t="str">
        <f>IF(VLOOKUP(BM136,Fundamentus!A:U,16,FALSE)&lt;0.1,"Oper. Ineficiente",IF(VLOOKUP(BM136,Fundamentus!A:U,16,FALSE)&gt;0.1,"Oper.Eficiente","n/a"))</f>
        <v>Oper. Ineficiente</v>
      </c>
      <c r="EU136" s="34">
        <f>VLOOKUP(BM136,Fundamentus!A:U,14,FALSE)</f>
        <v>-0.21429999999999999</v>
      </c>
      <c r="EV136" s="17" t="str">
        <f>IF(VLOOKUP(BM136,Fundamentus!A:U,21,FALSE)&lt;0,"Negativo",IF(VLOOKUP(BM136,Fundamentus!A:U,21,FALSE)&lt;0.05,"Fraco",IF(VLOOKUP(BM136,Fundamentus!A:U,21,FALSE)&lt;0.1,"Bom",IF(VLOOKUP(BM136,Fundamentus!A:U,21,FALSE)&gt;0.1,"Muito bom","n/a"))))</f>
        <v>Negativo</v>
      </c>
      <c r="EX136" s="29" t="str">
        <f>IF(VLOOKUP(BM136,Fundamentus!A:U,15,FALSE)&gt;1,"Bom",IF(VLOOKUP(BM136,Fundamentus!A:U,15,FALSE)&lt;1,"Ruim","n/a"))</f>
        <v>Bom</v>
      </c>
      <c r="EY136" s="17" t="str">
        <f>IF(VLOOKUP(BM136,Fundamentus!A:U,20,FALSE)&lt;0.5,"Baixa",IF(VLOOKUP(BM136,Fundamentus!A:U,20,FALSE)&lt;1,"Moderada",IF(VLOOKUP(BM136,Fundamentus!A:U,20,FALSE)&lt;2,"Alerta",IF(VLOOKUP(BM136,Fundamentus!A:U,20,FALSE)&gt;2,"Alta","n/a"))))</f>
        <v>Alerta</v>
      </c>
      <c r="EZ136" s="10"/>
    </row>
    <row r="137" spans="1:156" s="2" customFormat="1" ht="11.25" x14ac:dyDescent="0.2">
      <c r="A137" s="4">
        <v>11.42</v>
      </c>
      <c r="B137" s="4">
        <v>11.27</v>
      </c>
      <c r="C137" s="4">
        <v>11.3</v>
      </c>
      <c r="D137" s="4">
        <v>10.99</v>
      </c>
      <c r="E137" s="4">
        <v>10.7</v>
      </c>
      <c r="F137" s="4">
        <v>10</v>
      </c>
      <c r="G137" s="4">
        <v>9.99</v>
      </c>
      <c r="H137" s="4">
        <v>10.34</v>
      </c>
      <c r="I137" s="4">
        <v>10.66</v>
      </c>
      <c r="J137" s="4">
        <v>10.59</v>
      </c>
      <c r="K137" s="4">
        <v>10.73</v>
      </c>
      <c r="L137" s="4">
        <v>11.06</v>
      </c>
      <c r="M137" s="4">
        <v>10.62</v>
      </c>
      <c r="N137" s="4">
        <v>10.19</v>
      </c>
      <c r="O137" s="4">
        <v>10.18</v>
      </c>
      <c r="P137" s="4">
        <v>10.06</v>
      </c>
      <c r="Q137" s="4">
        <v>10.55</v>
      </c>
      <c r="R137" s="4">
        <v>10.49</v>
      </c>
      <c r="S137" s="4">
        <v>10.48</v>
      </c>
      <c r="T137" s="4">
        <v>10.77</v>
      </c>
      <c r="U137" s="4">
        <v>10.43</v>
      </c>
      <c r="V137" s="4">
        <v>10.87</v>
      </c>
      <c r="W137" s="4">
        <v>10.86</v>
      </c>
      <c r="X137" s="4">
        <v>10.47</v>
      </c>
      <c r="Y137" s="4">
        <v>10.15</v>
      </c>
      <c r="Z137" s="4">
        <v>10.08</v>
      </c>
      <c r="AA137" s="4">
        <v>10.17</v>
      </c>
      <c r="AB137" s="4">
        <v>11.45</v>
      </c>
      <c r="AC137" s="4">
        <v>11.06</v>
      </c>
      <c r="AD137" s="4">
        <v>10.99</v>
      </c>
      <c r="AE137" s="4">
        <v>11.46</v>
      </c>
      <c r="AF137" s="4">
        <v>11.57</v>
      </c>
      <c r="AG137" s="4">
        <v>11.3</v>
      </c>
      <c r="AH137" s="4">
        <v>10.62</v>
      </c>
      <c r="AI137" s="4">
        <v>10.32</v>
      </c>
      <c r="AJ137" s="4">
        <v>9.75</v>
      </c>
      <c r="AK137" s="4">
        <v>9.41</v>
      </c>
      <c r="AL137" s="4">
        <v>9.69</v>
      </c>
      <c r="AM137" s="4">
        <v>9.81</v>
      </c>
      <c r="AN137" s="4">
        <v>9.6199999999999992</v>
      </c>
      <c r="AO137" s="4">
        <v>9.35</v>
      </c>
      <c r="AP137" s="4">
        <v>9.73</v>
      </c>
      <c r="AQ137" s="4">
        <v>8.9499999999999993</v>
      </c>
      <c r="AR137" s="4">
        <v>9.17</v>
      </c>
      <c r="AS137" s="4">
        <v>9.2200000000000006</v>
      </c>
      <c r="AT137" s="4">
        <v>9.36</v>
      </c>
      <c r="AU137" s="4">
        <v>9.4499999999999993</v>
      </c>
      <c r="AV137" s="4">
        <v>9.34</v>
      </c>
      <c r="AW137" s="4">
        <v>8.35</v>
      </c>
      <c r="AX137" s="4">
        <v>8.16</v>
      </c>
      <c r="AY137" s="12">
        <v>8.3000000000000007</v>
      </c>
      <c r="AZ137" s="12">
        <v>8.59</v>
      </c>
      <c r="BA137" s="12">
        <v>8.41</v>
      </c>
      <c r="BB137" s="15">
        <v>8.35</v>
      </c>
      <c r="BC137" s="52">
        <v>8.67</v>
      </c>
      <c r="BD137" s="52">
        <v>8.51</v>
      </c>
      <c r="BE137" s="52">
        <v>8.36</v>
      </c>
      <c r="BF137" s="52">
        <v>9.2200000000000006</v>
      </c>
      <c r="BG137" s="67">
        <v>9.19</v>
      </c>
      <c r="BH137" s="52">
        <v>8.91</v>
      </c>
      <c r="BI137" s="52">
        <v>8.82</v>
      </c>
      <c r="BJ137" s="52">
        <v>9.3699999999999992</v>
      </c>
      <c r="BK137" s="52">
        <v>9.32</v>
      </c>
      <c r="BL137" s="52" cm="1">
        <f t="array" aca="1" ref="BL137" ca="1">_FV(EC137,"Preço")</f>
        <v>9.32</v>
      </c>
      <c r="BM137" s="69" t="s">
        <v>133</v>
      </c>
      <c r="BN137" s="36" cm="1">
        <f t="array" aca="1" ref="BN137" ca="1">_FV(EC137,"Média de volume",TRUE)</f>
        <v>5970730</v>
      </c>
      <c r="BO137" s="36">
        <v>5616500</v>
      </c>
      <c r="BP137" s="36" cm="1">
        <f t="array" aca="1" ref="BP137" ca="1">_FV(EC137,"Volume")</f>
        <v>5616500</v>
      </c>
      <c r="BQ137" s="24" cm="1">
        <f t="array" aca="1" ref="BQ137" ca="1">_FV(EC137,"Beta")</f>
        <v>0.67800000000000005</v>
      </c>
      <c r="BR137" s="71" cm="1">
        <f t="array" aca="1" ref="BR137" ca="1">_FV(EC137,"Variação (%)",TRUE)</f>
        <v>-1.4799E-2</v>
      </c>
      <c r="BT137" s="17" cm="1">
        <f t="array" aca="1" ref="BT137" ca="1">_FV(EC137,"Baixo")</f>
        <v>9.25</v>
      </c>
      <c r="BU137" s="17" cm="1">
        <f t="array" aca="1" ref="BU137" ca="1">_FV(EC137,"Alto")</f>
        <v>9.43</v>
      </c>
      <c r="BV137" s="24"/>
      <c r="BW137" s="63">
        <f ca="1">SQRT(22.5*(BL137/VLOOKUP(BM137,Fundamentus!A:U,3,FALSE))*(BL137/VLOOKUP(BM137,Fundamentus!A:U,4,FALSE)))</f>
        <v>22.546627543095688</v>
      </c>
      <c r="BY137" s="62">
        <f t="shared" ca="1" si="168"/>
        <v>0</v>
      </c>
      <c r="BZ137" s="8"/>
      <c r="CA137" s="61">
        <f t="shared" si="169"/>
        <v>8.16</v>
      </c>
      <c r="CB137" s="61">
        <f t="shared" si="170"/>
        <v>11.57</v>
      </c>
      <c r="CC137" s="61">
        <f t="shared" si="171"/>
        <v>9.9614285714285735</v>
      </c>
      <c r="CD137" s="14"/>
      <c r="CE137" s="35">
        <f t="shared" si="154"/>
        <v>8.7861737842876515</v>
      </c>
      <c r="CF137" s="15">
        <f t="shared" si="172"/>
        <v>9.19399999999996</v>
      </c>
      <c r="CG137" s="35">
        <f t="shared" si="155"/>
        <v>9.6018262157122685</v>
      </c>
      <c r="CI137" s="14"/>
      <c r="CJ137" s="17">
        <f t="shared" si="156"/>
        <v>4.4200000000000017</v>
      </c>
      <c r="CK137" s="17">
        <f t="shared" si="157"/>
        <v>6.2900000000000009</v>
      </c>
      <c r="CL137" s="17">
        <f t="shared" si="158"/>
        <v>7.8300000000000018</v>
      </c>
      <c r="CM137" s="38">
        <f t="shared" si="173"/>
        <v>9.7000000000000011</v>
      </c>
      <c r="CN137" s="17">
        <f t="shared" si="159"/>
        <v>11.240000000000002</v>
      </c>
      <c r="CO137" s="17">
        <f t="shared" si="160"/>
        <v>13.110000000000001</v>
      </c>
      <c r="CP137" s="17">
        <f t="shared" si="161"/>
        <v>14.650000000000002</v>
      </c>
      <c r="CQ137" s="2" cm="1">
        <f t="array" aca="1" ref="CQ137" ca="1">MAX(_xlfn._xlws.FILTER(CJ137:CP137,CJ137:CP137&lt;BL137))</f>
        <v>7.8300000000000018</v>
      </c>
      <c r="CR137" s="2" cm="1">
        <f t="array" aca="1" ref="CR137" ca="1">MIN(_xlfn._xlws.FILTER($CJ137:$CP137,$CJ137:$CP137&gt;BL137))</f>
        <v>9.7000000000000011</v>
      </c>
      <c r="CS137" s="16">
        <f t="shared" ca="1" si="136"/>
        <v>0.23882503192848015</v>
      </c>
      <c r="CT137" s="20">
        <f t="shared" ca="1" si="137"/>
        <v>-0.11941251596424007</v>
      </c>
      <c r="CU137" s="20">
        <f t="shared" ca="1" si="138"/>
        <v>-7.9608343976160054E-2</v>
      </c>
      <c r="CV137" s="20">
        <f t="shared" ca="1" si="139"/>
        <v>-4.7765006385696029E-2</v>
      </c>
      <c r="CW137" s="20">
        <f t="shared" ca="1" si="140"/>
        <v>-2.6536114658720016E-2</v>
      </c>
      <c r="CX137" s="20">
        <f t="shared" ca="1" si="141"/>
        <v>-1.4048531289910597E-2</v>
      </c>
      <c r="CY137" s="20">
        <f t="shared" ca="1" si="142"/>
        <v>-7.2371221796509134E-3</v>
      </c>
      <c r="CZ137" s="20">
        <f t="shared" ca="1" si="143"/>
        <v>-3.6742312604381563E-3</v>
      </c>
      <c r="DA137" s="21">
        <f t="shared" ca="1" si="144"/>
        <v>3.6742312604381563E-3</v>
      </c>
      <c r="DB137" s="21">
        <f t="shared" ca="1" si="145"/>
        <v>7.2371221796509134E-3</v>
      </c>
      <c r="DC137" s="21">
        <f t="shared" ca="1" si="146"/>
        <v>1.4048531289910597E-2</v>
      </c>
      <c r="DD137" s="21">
        <f t="shared" ca="1" si="147"/>
        <v>2.6536114658720016E-2</v>
      </c>
      <c r="DE137" s="21">
        <f t="shared" ca="1" si="148"/>
        <v>4.7765006385696029E-2</v>
      </c>
      <c r="DF137" s="21">
        <f t="shared" ca="1" si="149"/>
        <v>7.9608343976160054E-2</v>
      </c>
      <c r="DG137" s="21">
        <f t="shared" ca="1" si="150"/>
        <v>0.11941251596424007</v>
      </c>
      <c r="DI137" s="16" cm="1">
        <f t="array" aca="1" ref="DI137" ca="1">MAX(_xlfn._xlws.FILTER(CT137:DG137,CT137:DG137&lt;BR137))</f>
        <v>-2.6536114658720016E-2</v>
      </c>
      <c r="DJ137" s="16" cm="1">
        <f t="array" aca="1" ref="DJ137" ca="1">MIN(_xlfn._xlws.FILTER(CT137:DG137,CT137:DG137&gt;BR137))</f>
        <v>-1.4048531289910597E-2</v>
      </c>
      <c r="DK137" s="2" cm="1">
        <f t="array" aca="1" ref="DK137" ca="1">_FV(EC137,"Fechamento anterior",TRUE)</f>
        <v>9.4600000000000009</v>
      </c>
      <c r="DL137" s="28">
        <f t="shared" ca="1" si="162"/>
        <v>0.9398904478185619</v>
      </c>
      <c r="DM137" s="15">
        <f t="shared" ca="1" si="151"/>
        <v>9.2089683553285102</v>
      </c>
      <c r="DN137" s="15">
        <f t="shared" ca="1" si="152"/>
        <v>9.3271008939974465</v>
      </c>
      <c r="DO137" s="9"/>
      <c r="DP137" s="9"/>
      <c r="DQ137" s="9"/>
      <c r="DR137" s="89">
        <v>3.6800644011270225E-3</v>
      </c>
      <c r="DS137" s="89">
        <v>3.734441088526691E-3</v>
      </c>
      <c r="DT137" s="89">
        <v>7.3484625208763126E-3</v>
      </c>
      <c r="DU137" s="89">
        <v>1.2487583368809419E-2</v>
      </c>
      <c r="DV137" s="89">
        <f t="shared" ca="1" si="163"/>
        <v>1.2487583368809419E-2</v>
      </c>
      <c r="DW137" s="72">
        <f t="shared" ca="1" si="164"/>
        <v>0.30895512633970562</v>
      </c>
      <c r="DX137" s="37"/>
      <c r="DY137" s="35">
        <f t="shared" si="174"/>
        <v>0.20391310785615396</v>
      </c>
      <c r="DZ137" s="56"/>
      <c r="EA137" s="56"/>
      <c r="EC137" s="2" t="e" vm="136">
        <v>#VALUE!</v>
      </c>
      <c r="EE137" s="10" cm="1">
        <f t="array" aca="1" ref="EE137" ca="1">_FV(EC137,"Ações em circulação",TRUE)</f>
        <v>993705800</v>
      </c>
      <c r="EF137" s="18">
        <f>VLOOKUP(BM137,Fundamentus!A:U,5,FALSE)</f>
        <v>0.13400000000000001</v>
      </c>
      <c r="EG137" s="2">
        <f t="shared" ca="1" si="165"/>
        <v>69114463104.477615</v>
      </c>
      <c r="EH137" s="17">
        <v>3358962906.8776121</v>
      </c>
      <c r="EI137" s="17">
        <f t="shared" ca="1" si="166"/>
        <v>3358962906.8776121</v>
      </c>
      <c r="EK137" s="16">
        <f t="shared" ca="1" si="153"/>
        <v>0</v>
      </c>
      <c r="EL137" s="32" t="str">
        <f>IF(VLOOKUP(BM137,Fundamentus!A:U,3,FALSE)&lt;15,"Bom",IF(VLOOKUP(BM137,Fundamentus!A:U,3,FALSE)&gt;15,"Ruim","n/a"))</f>
        <v>Bom</v>
      </c>
      <c r="EM137" s="28" t="str">
        <f>IF(VLOOKUP(BM137,Fundamentus!A:U,4,FALSE)&lt;1,"Baixo",IF(VLOOKUP(BM137,Fundamentus!A:U,4,FALSE)&lt;1.5,"Moderado",IF(VLOOKUP(BM137,Fundamentus!A:U,4,FALSE)&gt;1.5,"Alto","n/a")))</f>
        <v>Baixo</v>
      </c>
      <c r="EN137" s="17" t="str">
        <f>IF(VLOOKUP(BM137,Fundamentus!A:U,8,FALSE)&lt;0,"Risco elevado",IF(VLOOKUP(BM137,Fundamentus!A:U,8,FALSE)&lt;1,"Saudável",IF(VLOOKUP(BM137,Fundamentus!A:U,8,FALSE)&lt;3,"Estável",IF(VLOOKUP(BM137,Fundamentus!A:U,8,FALSE)&gt;3,"Alerta","n/a"))))</f>
        <v>Saudável</v>
      </c>
      <c r="EO137" s="28" t="str">
        <f t="shared" si="167"/>
        <v>Ruim</v>
      </c>
      <c r="EP137" s="17" t="str">
        <f>IF(VLOOKUP(BM137,Fundamentus!A:U,12,FALSE)&lt;2,"Subvalorizada",IF(VLOOKUP(BM137,Fundamentus!A:U,12,FALSE)&lt;6,"Muita barata",IF(VLOOKUP(BM137,Fundamentus!A:U,12,FALSE)&lt;6,"Barata",IF(VLOOKUP(BM137,Fundamentus!A:U,12,FALSE)&lt;8,"Atrativa",IF(VLOOKUP(BM137,Fundamentus!A:U,12,FALSE)&gt;8,"Supervalorizada","n/a")))))</f>
        <v>Subvalorizada</v>
      </c>
      <c r="ER137" s="17" t="str">
        <f>IF(VLOOKUP(BM137,Fundamentus!A:U,17,FALSE)&lt;0.1,"Fraco retorno",IF(VLOOKUP(BM137,Fundamentus!A:U,17,FALSE)&gt;0.1,"Bom retorno","n/a"))</f>
        <v>Fraco retorno</v>
      </c>
      <c r="ES137" s="17" t="str">
        <f>IF(VLOOKUP(BM137,Fundamentus!A:U,16,FALSE)&lt;0.1,"Ineficiente",IF(VLOOKUP(BM137,Fundamentus!A:U,16,FALSE)&gt;0.1,"Eficiente","n/a"))</f>
        <v>Ineficiente</v>
      </c>
      <c r="ET137" s="33" t="str">
        <f>IF(VLOOKUP(BM137,Fundamentus!A:U,16,FALSE)&lt;0.1,"Oper. Ineficiente",IF(VLOOKUP(BM137,Fundamentus!A:U,16,FALSE)&gt;0.1,"Oper.Eficiente","n/a"))</f>
        <v>Oper. Ineficiente</v>
      </c>
      <c r="EU137" s="34">
        <f>VLOOKUP(BM137,Fundamentus!A:U,14,FALSE)</f>
        <v>4.8599999999999997E-2</v>
      </c>
      <c r="EV137" s="17" t="str">
        <f>IF(VLOOKUP(BM137,Fundamentus!A:U,21,FALSE)&lt;0,"Negativo",IF(VLOOKUP(BM137,Fundamentus!A:U,21,FALSE)&lt;0.05,"Fraco",IF(VLOOKUP(BM137,Fundamentus!A:U,21,FALSE)&lt;0.1,"Bom",IF(VLOOKUP(BM137,Fundamentus!A:U,21,FALSE)&gt;0.1,"Muito bom","n/a"))))</f>
        <v>Fraco</v>
      </c>
      <c r="EX137" s="29" t="str">
        <f>IF(VLOOKUP(BM137,Fundamentus!A:U,15,FALSE)&gt;1,"Bom",IF(VLOOKUP(BM137,Fundamentus!A:U,15,FALSE)&lt;1,"Ruim","n/a"))</f>
        <v>Bom</v>
      </c>
      <c r="EY137" s="17" t="str">
        <f>IF(VLOOKUP(BM137,Fundamentus!A:U,20,FALSE)&lt;0.5,"Baixa",IF(VLOOKUP(BM137,Fundamentus!A:U,20,FALSE)&lt;1,"Moderada",IF(VLOOKUP(BM137,Fundamentus!A:U,20,FALSE)&lt;2,"Alerta",IF(VLOOKUP(BM137,Fundamentus!A:U,20,FALSE)&gt;2,"Alta","n/a"))))</f>
        <v>Moderada</v>
      </c>
      <c r="EZ137" s="10"/>
    </row>
    <row r="138" spans="1:156" s="2" customFormat="1" ht="11.25" x14ac:dyDescent="0.2">
      <c r="A138" s="4">
        <v>4.57</v>
      </c>
      <c r="B138" s="4">
        <v>4.54</v>
      </c>
      <c r="C138" s="4">
        <v>4.46</v>
      </c>
      <c r="D138" s="4">
        <v>4.4000000000000004</v>
      </c>
      <c r="E138" s="4">
        <v>4.3099999999999996</v>
      </c>
      <c r="F138" s="4">
        <v>4.08</v>
      </c>
      <c r="G138" s="4">
        <v>4.16</v>
      </c>
      <c r="H138" s="4">
        <v>4.0199999999999996</v>
      </c>
      <c r="I138" s="4">
        <v>3.99</v>
      </c>
      <c r="J138" s="4">
        <v>3.9</v>
      </c>
      <c r="K138" s="4">
        <v>4</v>
      </c>
      <c r="L138" s="4">
        <v>4.1399999999999997</v>
      </c>
      <c r="M138" s="4">
        <v>4.1900000000000004</v>
      </c>
      <c r="N138" s="4">
        <v>4.1399999999999997</v>
      </c>
      <c r="O138" s="4">
        <v>4.2</v>
      </c>
      <c r="P138" s="4">
        <v>4.0999999999999996</v>
      </c>
      <c r="Q138" s="4">
        <v>4.17</v>
      </c>
      <c r="R138" s="4">
        <v>4.37</v>
      </c>
      <c r="S138" s="4">
        <v>4.4000000000000004</v>
      </c>
      <c r="T138" s="4">
        <v>4.18</v>
      </c>
      <c r="U138" s="4">
        <v>4.21</v>
      </c>
      <c r="V138" s="4">
        <v>4.1900000000000004</v>
      </c>
      <c r="W138" s="4">
        <v>4.18</v>
      </c>
      <c r="X138" s="4">
        <v>4.1100000000000003</v>
      </c>
      <c r="Y138" s="4">
        <v>4.12</v>
      </c>
      <c r="Z138" s="4">
        <v>4.1500000000000004</v>
      </c>
      <c r="AA138" s="4">
        <v>4.05</v>
      </c>
      <c r="AB138" s="4">
        <v>4.04</v>
      </c>
      <c r="AC138" s="4">
        <v>4</v>
      </c>
      <c r="AD138" s="4">
        <v>4.03</v>
      </c>
      <c r="AE138" s="4">
        <v>4.12</v>
      </c>
      <c r="AF138" s="4">
        <v>4</v>
      </c>
      <c r="AG138" s="4">
        <v>3.98</v>
      </c>
      <c r="AH138" s="4">
        <v>4</v>
      </c>
      <c r="AI138" s="4">
        <v>4.0999999999999996</v>
      </c>
      <c r="AJ138" s="4">
        <v>4.0599999999999996</v>
      </c>
      <c r="AK138" s="4">
        <v>3.95</v>
      </c>
      <c r="AL138" s="4">
        <v>4</v>
      </c>
      <c r="AM138" s="4">
        <v>4</v>
      </c>
      <c r="AN138" s="4">
        <v>4.1500000000000004</v>
      </c>
      <c r="AO138" s="4">
        <v>4.0999999999999996</v>
      </c>
      <c r="AP138" s="4">
        <v>4.12</v>
      </c>
      <c r="AQ138" s="4">
        <v>4.0999999999999996</v>
      </c>
      <c r="AR138" s="4">
        <v>4.09</v>
      </c>
      <c r="AS138" s="4">
        <v>4</v>
      </c>
      <c r="AT138" s="4">
        <v>3.99</v>
      </c>
      <c r="AU138" s="4">
        <v>4.0199999999999996</v>
      </c>
      <c r="AV138" s="4">
        <v>3.94</v>
      </c>
      <c r="AW138" s="4">
        <v>3.94</v>
      </c>
      <c r="AX138" s="4">
        <v>3.9</v>
      </c>
      <c r="AY138" s="12">
        <v>3.73</v>
      </c>
      <c r="AZ138" s="12">
        <v>3.76</v>
      </c>
      <c r="BA138" s="12">
        <v>3.9</v>
      </c>
      <c r="BB138" s="15">
        <v>3.75</v>
      </c>
      <c r="BC138" s="52">
        <v>4.09</v>
      </c>
      <c r="BD138" s="52">
        <v>4.05</v>
      </c>
      <c r="BE138" s="52">
        <v>3.85</v>
      </c>
      <c r="BF138" s="52">
        <v>3.99</v>
      </c>
      <c r="BG138" s="67">
        <v>3.98</v>
      </c>
      <c r="BH138" s="52">
        <v>3.83</v>
      </c>
      <c r="BI138" s="52">
        <v>3.95</v>
      </c>
      <c r="BJ138" s="52">
        <v>4</v>
      </c>
      <c r="BK138" s="52">
        <v>4.33</v>
      </c>
      <c r="BL138" s="52" cm="1">
        <f t="array" aca="1" ref="BL138" ca="1">_FV(EC138,"Preço")</f>
        <v>4.33</v>
      </c>
      <c r="BM138" s="69" t="s">
        <v>134</v>
      </c>
      <c r="BN138" s="36" t="e" cm="1" vm="3">
        <f t="array" ref="BN138">_FV(EC138,"Média de volume",TRUE)</f>
        <v>#VALUE!</v>
      </c>
      <c r="BO138" s="36">
        <v>200</v>
      </c>
      <c r="BP138" s="36" cm="1">
        <f t="array" aca="1" ref="BP138" ca="1">_FV(EC138,"Volume")</f>
        <v>200</v>
      </c>
      <c r="BQ138" s="24" t="e" cm="1" vm="137">
        <f t="array" ref="BQ138">_FV(EC138,"Beta")</f>
        <v>#VALUE!</v>
      </c>
      <c r="BR138" s="71" cm="1">
        <f t="array" aca="1" ref="BR138" ca="1">_FV(EC138,"Variação (%)",TRUE)</f>
        <v>-4.5979999999999997E-3</v>
      </c>
      <c r="BT138" s="17" cm="1">
        <f t="array" aca="1" ref="BT138" ca="1">_FV(EC138,"Baixo")</f>
        <v>4.33</v>
      </c>
      <c r="BU138" s="17" cm="1">
        <f t="array" aca="1" ref="BU138" ca="1">_FV(EC138,"Alto")</f>
        <v>4.33</v>
      </c>
      <c r="BV138" s="24"/>
      <c r="BW138" s="63" t="e">
        <f ca="1">SQRT(22.5*(BL138/VLOOKUP(BM138,Fundamentus!A:U,3,FALSE))*(BL138/VLOOKUP(BM138,Fundamentus!A:U,4,FALSE)))</f>
        <v>#NUM!</v>
      </c>
      <c r="BY138" s="62">
        <f t="shared" ca="1" si="168"/>
        <v>0</v>
      </c>
      <c r="BZ138" s="8"/>
      <c r="CA138" s="61">
        <f t="shared" si="169"/>
        <v>3.73</v>
      </c>
      <c r="CB138" s="61">
        <f t="shared" si="170"/>
        <v>4.57</v>
      </c>
      <c r="CC138" s="61">
        <f t="shared" si="171"/>
        <v>4.0820634920634919</v>
      </c>
      <c r="CD138" s="14"/>
      <c r="CE138" s="35">
        <f t="shared" si="154"/>
        <v>3.7997860495397622</v>
      </c>
      <c r="CF138" s="15">
        <f t="shared" si="172"/>
        <v>4.1050000000000182</v>
      </c>
      <c r="CG138" s="35">
        <f t="shared" si="155"/>
        <v>4.4102139504602738</v>
      </c>
      <c r="CI138" s="14"/>
      <c r="CJ138" s="17">
        <f t="shared" si="156"/>
        <v>2.7900000000000005</v>
      </c>
      <c r="CK138" s="17">
        <f t="shared" si="157"/>
        <v>3.2600000000000002</v>
      </c>
      <c r="CL138" s="17">
        <f t="shared" si="158"/>
        <v>3.6300000000000008</v>
      </c>
      <c r="CM138" s="38">
        <f t="shared" si="173"/>
        <v>4.1000000000000005</v>
      </c>
      <c r="CN138" s="17">
        <f t="shared" si="159"/>
        <v>4.4700000000000006</v>
      </c>
      <c r="CO138" s="17">
        <f t="shared" si="160"/>
        <v>4.9400000000000013</v>
      </c>
      <c r="CP138" s="17">
        <f t="shared" si="161"/>
        <v>5.3100000000000014</v>
      </c>
      <c r="CQ138" s="2" cm="1">
        <f t="array" aca="1" ref="CQ138" ca="1">MAX(_xlfn._xlws.FILTER(CJ138:CP138,CJ138:CP138&lt;BL138))</f>
        <v>4.1000000000000005</v>
      </c>
      <c r="CR138" s="2" cm="1">
        <f t="array" aca="1" ref="CR138" ca="1">MIN(_xlfn._xlws.FILTER($CJ138:$CP138,$CJ138:$CP138&gt;BL138))</f>
        <v>4.4700000000000006</v>
      </c>
      <c r="CS138" s="16">
        <f t="shared" ca="1" si="136"/>
        <v>9.024390243902447E-2</v>
      </c>
      <c r="CT138" s="20">
        <f t="shared" ca="1" si="137"/>
        <v>-4.5121951219512235E-2</v>
      </c>
      <c r="CU138" s="20">
        <f t="shared" ca="1" si="138"/>
        <v>-3.0081300813008156E-2</v>
      </c>
      <c r="CV138" s="20">
        <f t="shared" ca="1" si="139"/>
        <v>-1.8048780487804894E-2</v>
      </c>
      <c r="CW138" s="20">
        <f t="shared" ca="1" si="140"/>
        <v>-1.0027100271002719E-2</v>
      </c>
      <c r="CX138" s="20">
        <f t="shared" ca="1" si="141"/>
        <v>-5.3084648493543808E-3</v>
      </c>
      <c r="CY138" s="20">
        <f t="shared" ca="1" si="142"/>
        <v>-2.734663710273469E-3</v>
      </c>
      <c r="CZ138" s="20">
        <f t="shared" ca="1" si="143"/>
        <v>-1.3883677298311458E-3</v>
      </c>
      <c r="DA138" s="21">
        <f t="shared" ca="1" si="144"/>
        <v>1.3883677298311458E-3</v>
      </c>
      <c r="DB138" s="21">
        <f t="shared" ca="1" si="145"/>
        <v>2.734663710273469E-3</v>
      </c>
      <c r="DC138" s="21">
        <f t="shared" ca="1" si="146"/>
        <v>5.3084648493543808E-3</v>
      </c>
      <c r="DD138" s="21">
        <f t="shared" ca="1" si="147"/>
        <v>1.0027100271002719E-2</v>
      </c>
      <c r="DE138" s="21">
        <f t="shared" ca="1" si="148"/>
        <v>1.8048780487804894E-2</v>
      </c>
      <c r="DF138" s="21">
        <f t="shared" ca="1" si="149"/>
        <v>3.0081300813008156E-2</v>
      </c>
      <c r="DG138" s="21">
        <f t="shared" ca="1" si="150"/>
        <v>4.5121951219512235E-2</v>
      </c>
      <c r="DI138" s="16" cm="1">
        <f t="array" aca="1" ref="DI138" ca="1">MAX(_xlfn._xlws.FILTER(CT138:DG138,CT138:DG138&lt;BR138))</f>
        <v>-5.3084648493543808E-3</v>
      </c>
      <c r="DJ138" s="16" cm="1">
        <f t="array" aca="1" ref="DJ138" ca="1">MIN(_xlfn._xlws.FILTER(CT138:DG138,CT138:DG138&gt;BR138))</f>
        <v>-2.734663710273469E-3</v>
      </c>
      <c r="DK138" s="2" cm="1">
        <f t="array" aca="1" ref="DK138" ca="1">_FV(EC138,"Fechamento anterior",TRUE)</f>
        <v>4.3499999999999996</v>
      </c>
      <c r="DL138" s="28">
        <f t="shared" ca="1" si="162"/>
        <v>0.2761533084809491</v>
      </c>
      <c r="DM138" s="15">
        <f t="shared" ca="1" si="151"/>
        <v>4.3269081779053078</v>
      </c>
      <c r="DN138" s="15">
        <f t="shared" ca="1" si="152"/>
        <v>4.3381042128603102</v>
      </c>
      <c r="DO138" s="9"/>
      <c r="DP138" s="9"/>
      <c r="DQ138" s="9"/>
      <c r="DR138" s="89">
        <v>2.4215398128441617E-3</v>
      </c>
      <c r="DS138" s="89">
        <v>4.0552995391705052E-3</v>
      </c>
      <c r="DT138" s="89">
        <v>6.7700174652046237E-3</v>
      </c>
      <c r="DU138" s="89">
        <v>2.5738011390809118E-3</v>
      </c>
      <c r="DV138" s="89">
        <f t="shared" ca="1" si="163"/>
        <v>2.5738011390809118E-3</v>
      </c>
      <c r="DW138" s="72">
        <f t="shared" ca="1" si="164"/>
        <v>0.73718779780769117</v>
      </c>
      <c r="DX138" s="37"/>
      <c r="DY138" s="35">
        <f t="shared" si="174"/>
        <v>0.15260697523012795</v>
      </c>
      <c r="DZ138" s="56"/>
      <c r="EA138" s="56"/>
      <c r="EC138" s="2" t="e" vm="138">
        <v>#VALUE!</v>
      </c>
      <c r="EE138" s="10" cm="1">
        <f t="array" aca="1" ref="EE138" ca="1">_FV(EC138,"Ações em circulação",TRUE)</f>
        <v>75645290</v>
      </c>
      <c r="EF138" s="18">
        <f>VLOOKUP(BM138,Fundamentus!A:U,5,FALSE)</f>
        <v>0.47099999999999997</v>
      </c>
      <c r="EG138" s="2">
        <f t="shared" ca="1" si="165"/>
        <v>695422729.72399151</v>
      </c>
      <c r="EH138" s="17">
        <v>-4520247.743205945</v>
      </c>
      <c r="EI138" s="17">
        <f t="shared" ca="1" si="166"/>
        <v>-4520247.743205945</v>
      </c>
      <c r="EK138" s="16">
        <f t="shared" ca="1" si="153"/>
        <v>0</v>
      </c>
      <c r="EL138" s="32" t="str">
        <f>IF(VLOOKUP(BM138,Fundamentus!A:U,3,FALSE)&lt;15,"Bom",IF(VLOOKUP(BM138,Fundamentus!A:U,3,FALSE)&gt;15,"Ruim","n/a"))</f>
        <v>Bom</v>
      </c>
      <c r="EM138" s="28" t="str">
        <f>IF(VLOOKUP(BM138,Fundamentus!A:U,4,FALSE)&lt;1,"Baixo",IF(VLOOKUP(BM138,Fundamentus!A:U,4,FALSE)&lt;1.5,"Moderado",IF(VLOOKUP(BM138,Fundamentus!A:U,4,FALSE)&gt;1.5,"Alto","n/a")))</f>
        <v>Baixo</v>
      </c>
      <c r="EN138" s="17" t="str">
        <f>IF(VLOOKUP(BM138,Fundamentus!A:U,8,FALSE)&lt;0,"Risco elevado",IF(VLOOKUP(BM138,Fundamentus!A:U,8,FALSE)&lt;1,"Saudável",IF(VLOOKUP(BM138,Fundamentus!A:U,8,FALSE)&lt;3,"Estável",IF(VLOOKUP(BM138,Fundamentus!A:U,8,FALSE)&gt;3,"Alerta","n/a"))))</f>
        <v>Saudável</v>
      </c>
      <c r="EO138" s="28" t="str">
        <f t="shared" si="167"/>
        <v>Ruim</v>
      </c>
      <c r="EP138" s="17" t="str">
        <f>IF(VLOOKUP(BM138,Fundamentus!A:U,12,FALSE)&lt;2,"Subvalorizada",IF(VLOOKUP(BM138,Fundamentus!A:U,12,FALSE)&lt;6,"Muita barata",IF(VLOOKUP(BM138,Fundamentus!A:U,12,FALSE)&lt;6,"Barata",IF(VLOOKUP(BM138,Fundamentus!A:U,12,FALSE)&lt;8,"Atrativa",IF(VLOOKUP(BM138,Fundamentus!A:U,12,FALSE)&gt;8,"Supervalorizada","n/a")))))</f>
        <v>Subvalorizada</v>
      </c>
      <c r="ER138" s="17" t="str">
        <f>IF(VLOOKUP(BM138,Fundamentus!A:U,17,FALSE)&lt;0.1,"Fraco retorno",IF(VLOOKUP(BM138,Fundamentus!A:U,17,FALSE)&gt;0.1,"Bom retorno","n/a"))</f>
        <v>Fraco retorno</v>
      </c>
      <c r="ES138" s="17" t="str">
        <f>IF(VLOOKUP(BM138,Fundamentus!A:U,16,FALSE)&lt;0.1,"Ineficiente",IF(VLOOKUP(BM138,Fundamentus!A:U,16,FALSE)&gt;0.1,"Eficiente","n/a"))</f>
        <v>Ineficiente</v>
      </c>
      <c r="ET138" s="33" t="str">
        <f>IF(VLOOKUP(BM138,Fundamentus!A:U,16,FALSE)&lt;0.1,"Oper. Ineficiente",IF(VLOOKUP(BM138,Fundamentus!A:U,16,FALSE)&gt;0.1,"Oper.Eficiente","n/a"))</f>
        <v>Oper. Ineficiente</v>
      </c>
      <c r="EU138" s="34">
        <f>VLOOKUP(BM138,Fundamentus!A:U,14,FALSE)</f>
        <v>-6.4999999999999997E-3</v>
      </c>
      <c r="EV138" s="17" t="str">
        <f>IF(VLOOKUP(BM138,Fundamentus!A:U,21,FALSE)&lt;0,"Negativo",IF(VLOOKUP(BM138,Fundamentus!A:U,21,FALSE)&lt;0.05,"Fraco",IF(VLOOKUP(BM138,Fundamentus!A:U,21,FALSE)&lt;0.1,"Bom",IF(VLOOKUP(BM138,Fundamentus!A:U,21,FALSE)&gt;0.1,"Muito bom","n/a"))))</f>
        <v>Fraco</v>
      </c>
      <c r="EX138" s="29" t="str">
        <f>IF(VLOOKUP(BM138,Fundamentus!A:U,15,FALSE)&gt;1,"Bom",IF(VLOOKUP(BM138,Fundamentus!A:U,15,FALSE)&lt;1,"Ruim","n/a"))</f>
        <v>Bom</v>
      </c>
      <c r="EY138" s="17" t="str">
        <f>IF(VLOOKUP(BM138,Fundamentus!A:U,20,FALSE)&lt;0.5,"Baixa",IF(VLOOKUP(BM138,Fundamentus!A:U,20,FALSE)&lt;1,"Moderada",IF(VLOOKUP(BM138,Fundamentus!A:U,20,FALSE)&lt;2,"Alerta",IF(VLOOKUP(BM138,Fundamentus!A:U,20,FALSE)&gt;2,"Alta","n/a"))))</f>
        <v>Baixa</v>
      </c>
      <c r="EZ138" s="10"/>
    </row>
    <row r="139" spans="1:156" s="2" customFormat="1" ht="11.25" x14ac:dyDescent="0.2">
      <c r="A139" s="4">
        <v>16.72</v>
      </c>
      <c r="B139" s="4">
        <v>18.91</v>
      </c>
      <c r="C139" s="4">
        <v>19.36</v>
      </c>
      <c r="D139" s="4">
        <v>19.02</v>
      </c>
      <c r="E139" s="4">
        <v>18.53</v>
      </c>
      <c r="F139" s="4">
        <v>18.329999999999998</v>
      </c>
      <c r="G139" s="4">
        <v>18.63</v>
      </c>
      <c r="H139" s="4">
        <v>20.55</v>
      </c>
      <c r="I139" s="4">
        <v>22.77</v>
      </c>
      <c r="J139" s="4">
        <v>22.83</v>
      </c>
      <c r="K139" s="4">
        <v>22.46</v>
      </c>
      <c r="L139" s="4">
        <v>20.99</v>
      </c>
      <c r="M139" s="4">
        <v>21.59</v>
      </c>
      <c r="N139" s="4">
        <v>20.95</v>
      </c>
      <c r="O139" s="4">
        <v>21.93</v>
      </c>
      <c r="P139" s="4">
        <v>24.32</v>
      </c>
      <c r="Q139" s="4">
        <v>25.19</v>
      </c>
      <c r="R139" s="4">
        <v>26.23</v>
      </c>
      <c r="S139" s="4">
        <v>25.21</v>
      </c>
      <c r="T139" s="4">
        <v>24.67</v>
      </c>
      <c r="U139" s="4">
        <v>25.12</v>
      </c>
      <c r="V139" s="4">
        <v>24.26</v>
      </c>
      <c r="W139" s="4">
        <v>23.35</v>
      </c>
      <c r="X139" s="4">
        <v>22.77</v>
      </c>
      <c r="Y139" s="4">
        <v>23.87</v>
      </c>
      <c r="Z139" s="4">
        <v>24.41</v>
      </c>
      <c r="AA139" s="4">
        <v>25.82</v>
      </c>
      <c r="AB139" s="4">
        <v>24.1</v>
      </c>
      <c r="AC139" s="4">
        <v>24.95</v>
      </c>
      <c r="AD139" s="4">
        <v>25.21</v>
      </c>
      <c r="AE139" s="4">
        <v>24.88</v>
      </c>
      <c r="AF139" s="4">
        <v>28.32</v>
      </c>
      <c r="AG139" s="4">
        <v>27.79</v>
      </c>
      <c r="AH139" s="4">
        <v>26.03</v>
      </c>
      <c r="AI139" s="4">
        <v>24.8</v>
      </c>
      <c r="AJ139" s="4">
        <v>24.01</v>
      </c>
      <c r="AK139" s="4">
        <v>23.52</v>
      </c>
      <c r="AL139" s="4">
        <v>22.78</v>
      </c>
      <c r="AM139" s="4">
        <v>21.88</v>
      </c>
      <c r="AN139" s="4">
        <v>21.89</v>
      </c>
      <c r="AO139" s="4">
        <v>20.64</v>
      </c>
      <c r="AP139" s="4">
        <v>20.02</v>
      </c>
      <c r="AQ139" s="4">
        <v>19</v>
      </c>
      <c r="AR139" s="4">
        <v>17.93</v>
      </c>
      <c r="AS139" s="4">
        <v>19.18</v>
      </c>
      <c r="AT139" s="4">
        <v>18.11</v>
      </c>
      <c r="AU139" s="4">
        <v>19.760000000000002</v>
      </c>
      <c r="AV139" s="4">
        <v>19.71</v>
      </c>
      <c r="AW139" s="4">
        <v>19.25</v>
      </c>
      <c r="AX139" s="4">
        <v>20.54</v>
      </c>
      <c r="AY139" s="12">
        <v>21.15</v>
      </c>
      <c r="AZ139" s="12">
        <v>22.9</v>
      </c>
      <c r="BA139" s="12">
        <v>22.7</v>
      </c>
      <c r="BB139" s="15">
        <v>20.39</v>
      </c>
      <c r="BC139" s="52">
        <v>20.62</v>
      </c>
      <c r="BD139" s="52">
        <v>21.42</v>
      </c>
      <c r="BE139" s="52">
        <v>20.3</v>
      </c>
      <c r="BF139" s="52">
        <v>20.52</v>
      </c>
      <c r="BG139" s="67">
        <v>21</v>
      </c>
      <c r="BH139" s="52">
        <v>20.79</v>
      </c>
      <c r="BI139" s="52">
        <v>19.899999999999999</v>
      </c>
      <c r="BJ139" s="52">
        <v>19.850000000000001</v>
      </c>
      <c r="BK139" s="52">
        <v>21.88</v>
      </c>
      <c r="BL139" s="52" cm="1">
        <f t="array" aca="1" ref="BL139" ca="1">_FV(EC139,"Preço")</f>
        <v>21.88</v>
      </c>
      <c r="BM139" s="69" t="s">
        <v>135</v>
      </c>
      <c r="BN139" s="36" cm="1">
        <f t="array" aca="1" ref="BN139" ca="1">_FV(EC139,"Média de volume",TRUE)</f>
        <v>17541330</v>
      </c>
      <c r="BO139" s="36">
        <v>11190500</v>
      </c>
      <c r="BP139" s="36" cm="1">
        <f t="array" aca="1" ref="BP139" ca="1">_FV(EC139,"Volume")</f>
        <v>11190500</v>
      </c>
      <c r="BQ139" s="24" cm="1">
        <f t="array" aca="1" ref="BQ139" ca="1">_FV(EC139,"Beta")</f>
        <v>1.5613999999999999</v>
      </c>
      <c r="BR139" s="71" cm="1">
        <f t="array" aca="1" ref="BR139" ca="1">_FV(EC139,"Variação (%)",TRUE)</f>
        <v>-4.8696000000000003E-2</v>
      </c>
      <c r="BT139" s="17" cm="1">
        <f t="array" aca="1" ref="BT139" ca="1">_FV(EC139,"Baixo")</f>
        <v>21.86</v>
      </c>
      <c r="BU139" s="17" cm="1">
        <f t="array" aca="1" ref="BU139" ca="1">_FV(EC139,"Alto")</f>
        <v>22.83</v>
      </c>
      <c r="BV139" s="24"/>
      <c r="BW139" s="63">
        <f ca="1">SQRT(22.5*(BL139/VLOOKUP(BM139,Fundamentus!A:U,3,FALSE))*(BL139/VLOOKUP(BM139,Fundamentus!A:U,4,FALSE)))</f>
        <v>23.044207427407972</v>
      </c>
      <c r="BY139" s="62">
        <f t="shared" ca="1" si="168"/>
        <v>0</v>
      </c>
      <c r="BZ139" s="8"/>
      <c r="CA139" s="61">
        <f t="shared" si="169"/>
        <v>16.72</v>
      </c>
      <c r="CB139" s="61">
        <f t="shared" si="170"/>
        <v>28.32</v>
      </c>
      <c r="CC139" s="61">
        <f t="shared" si="171"/>
        <v>22.00809523809524</v>
      </c>
      <c r="CD139" s="14"/>
      <c r="CE139" s="35">
        <f t="shared" si="154"/>
        <v>19.381771374053429</v>
      </c>
      <c r="CF139" s="15">
        <f t="shared" si="172"/>
        <v>20.765999999999622</v>
      </c>
      <c r="CG139" s="35">
        <f t="shared" si="155"/>
        <v>22.150228625945815</v>
      </c>
      <c r="CI139" s="14"/>
      <c r="CJ139" s="17">
        <f t="shared" si="156"/>
        <v>3.3399999999999963</v>
      </c>
      <c r="CK139" s="17">
        <f t="shared" si="157"/>
        <v>10.029999999999998</v>
      </c>
      <c r="CL139" s="17">
        <f t="shared" si="158"/>
        <v>14.939999999999998</v>
      </c>
      <c r="CM139" s="38">
        <f t="shared" si="173"/>
        <v>21.63</v>
      </c>
      <c r="CN139" s="17">
        <f t="shared" si="159"/>
        <v>26.54</v>
      </c>
      <c r="CO139" s="17">
        <f t="shared" si="160"/>
        <v>33.230000000000004</v>
      </c>
      <c r="CP139" s="17">
        <f t="shared" si="161"/>
        <v>38.14</v>
      </c>
      <c r="CQ139" s="2" cm="1">
        <f t="array" aca="1" ref="CQ139" ca="1">MAX(_xlfn._xlws.FILTER(CJ139:CP139,CJ139:CP139&lt;BL139))</f>
        <v>21.63</v>
      </c>
      <c r="CR139" s="2" cm="1">
        <f t="array" aca="1" ref="CR139" ca="1">MIN(_xlfn._xlws.FILTER($CJ139:$CP139,$CJ139:$CP139&gt;BL139))</f>
        <v>26.54</v>
      </c>
      <c r="CS139" s="16">
        <f t="shared" ca="1" si="136"/>
        <v>0.22699953767914938</v>
      </c>
      <c r="CT139" s="20">
        <f t="shared" ca="1" si="137"/>
        <v>-0.11349976883957469</v>
      </c>
      <c r="CU139" s="20">
        <f t="shared" ca="1" si="138"/>
        <v>-7.5666512559716459E-2</v>
      </c>
      <c r="CV139" s="20">
        <f t="shared" ca="1" si="139"/>
        <v>-4.5399907535829877E-2</v>
      </c>
      <c r="CW139" s="20">
        <f t="shared" ca="1" si="140"/>
        <v>-2.5222170853238818E-2</v>
      </c>
      <c r="CX139" s="20">
        <f t="shared" ca="1" si="141"/>
        <v>-1.3352913981126435E-2</v>
      </c>
      <c r="CY139" s="20">
        <f t="shared" ca="1" si="142"/>
        <v>-6.8787738690651327E-3</v>
      </c>
      <c r="CZ139" s="20">
        <f t="shared" ca="1" si="143"/>
        <v>-3.4923005796792211E-3</v>
      </c>
      <c r="DA139" s="21">
        <f t="shared" ca="1" si="144"/>
        <v>3.4923005796792211E-3</v>
      </c>
      <c r="DB139" s="21">
        <f t="shared" ca="1" si="145"/>
        <v>6.8787738690651327E-3</v>
      </c>
      <c r="DC139" s="21">
        <f t="shared" ca="1" si="146"/>
        <v>1.3352913981126435E-2</v>
      </c>
      <c r="DD139" s="21">
        <f t="shared" ca="1" si="147"/>
        <v>2.5222170853238818E-2</v>
      </c>
      <c r="DE139" s="21">
        <f t="shared" ca="1" si="148"/>
        <v>4.5399907535829877E-2</v>
      </c>
      <c r="DF139" s="21">
        <f t="shared" ca="1" si="149"/>
        <v>7.5666512559716459E-2</v>
      </c>
      <c r="DG139" s="21">
        <f t="shared" ca="1" si="150"/>
        <v>0.11349976883957469</v>
      </c>
      <c r="DI139" s="16" cm="1">
        <f t="array" aca="1" ref="DI139" ca="1">MAX(_xlfn._xlws.FILTER(CT139:DG139,CT139:DG139&lt;BR139))</f>
        <v>-7.5666512559716459E-2</v>
      </c>
      <c r="DJ139" s="16" cm="1">
        <f t="array" aca="1" ref="DJ139" ca="1">MIN(_xlfn._xlws.FILTER(CT139:DG139,CT139:DG139&gt;BR139))</f>
        <v>-4.5399907535829877E-2</v>
      </c>
      <c r="DK139" s="2" cm="1">
        <f t="array" aca="1" ref="DK139" ca="1">_FV(EC139,"Fechamento anterior",TRUE)</f>
        <v>23</v>
      </c>
      <c r="DL139" s="28">
        <f t="shared" ca="1" si="162"/>
        <v>0.89110953688125283</v>
      </c>
      <c r="DM139" s="15">
        <f t="shared" ca="1" si="151"/>
        <v>21.259670211126522</v>
      </c>
      <c r="DN139" s="15">
        <f t="shared" ca="1" si="152"/>
        <v>21.955802126675913</v>
      </c>
      <c r="DO139" s="9"/>
      <c r="DP139" s="9"/>
      <c r="DQ139" s="9"/>
      <c r="DR139" s="89">
        <v>1.8512607724225985E-2</v>
      </c>
      <c r="DS139" s="89">
        <v>1.1451779353507113E-2</v>
      </c>
      <c r="DT139" s="89">
        <v>2.3413917106333844E-2</v>
      </c>
      <c r="DU139" s="89">
        <v>3.0266605023886582E-2</v>
      </c>
      <c r="DV139" s="89">
        <f t="shared" ca="1" si="163"/>
        <v>3.0266605023886582E-2</v>
      </c>
      <c r="DW139" s="72">
        <f t="shared" ca="1" si="164"/>
        <v>0.80478035139527615</v>
      </c>
      <c r="DX139" s="37"/>
      <c r="DY139" s="35">
        <f t="shared" si="174"/>
        <v>0.69211431297309678</v>
      </c>
      <c r="DZ139" s="56"/>
      <c r="EA139" s="56"/>
      <c r="EC139" s="2" t="e" vm="139">
        <v>#VALUE!</v>
      </c>
      <c r="EE139" s="10" cm="1">
        <f t="array" aca="1" ref="EE139" ca="1">_FV(EC139,"Ações em circulação",TRUE)</f>
        <v>1682473000</v>
      </c>
      <c r="EF139" s="18">
        <f>VLOOKUP(BM139,Fundamentus!A:U,5,FALSE)</f>
        <v>0.55600000000000005</v>
      </c>
      <c r="EG139" s="2">
        <f t="shared" ca="1" si="165"/>
        <v>66209548992.805748</v>
      </c>
      <c r="EH139" s="17">
        <v>4462523602.1151075</v>
      </c>
      <c r="EI139" s="17">
        <f t="shared" ca="1" si="166"/>
        <v>4462523602.1151075</v>
      </c>
      <c r="EK139" s="16">
        <f t="shared" ca="1" si="153"/>
        <v>0</v>
      </c>
      <c r="EL139" s="32" t="str">
        <f>IF(VLOOKUP(BM139,Fundamentus!A:U,3,FALSE)&lt;15,"Bom",IF(VLOOKUP(BM139,Fundamentus!A:U,3,FALSE)&gt;15,"Ruim","n/a"))</f>
        <v>Bom</v>
      </c>
      <c r="EM139" s="28" t="str">
        <f>IF(VLOOKUP(BM139,Fundamentus!A:U,4,FALSE)&lt;1,"Baixo",IF(VLOOKUP(BM139,Fundamentus!A:U,4,FALSE)&lt;1.5,"Moderado",IF(VLOOKUP(BM139,Fundamentus!A:U,4,FALSE)&gt;1.5,"Alto","n/a")))</f>
        <v>Alto</v>
      </c>
      <c r="EN139" s="17" t="str">
        <f>IF(VLOOKUP(BM139,Fundamentus!A:U,8,FALSE)&lt;0,"Risco elevado",IF(VLOOKUP(BM139,Fundamentus!A:U,8,FALSE)&lt;1,"Saudável",IF(VLOOKUP(BM139,Fundamentus!A:U,8,FALSE)&lt;3,"Estável",IF(VLOOKUP(BM139,Fundamentus!A:U,8,FALSE)&gt;3,"Alerta","n/a"))))</f>
        <v>Alerta</v>
      </c>
      <c r="EO139" s="28" t="str">
        <f t="shared" si="167"/>
        <v>Ruim</v>
      </c>
      <c r="EP139" s="17" t="str">
        <f>IF(VLOOKUP(BM139,Fundamentus!A:U,12,FALSE)&lt;2,"Subvalorizada",IF(VLOOKUP(BM139,Fundamentus!A:U,12,FALSE)&lt;6,"Muita barata",IF(VLOOKUP(BM139,Fundamentus!A:U,12,FALSE)&lt;6,"Barata",IF(VLOOKUP(BM139,Fundamentus!A:U,12,FALSE)&lt;8,"Atrativa",IF(VLOOKUP(BM139,Fundamentus!A:U,12,FALSE)&gt;8,"Supervalorizada","n/a")))))</f>
        <v>Muita barata</v>
      </c>
      <c r="ER139" s="17" t="str">
        <f>IF(VLOOKUP(BM139,Fundamentus!A:U,17,FALSE)&lt;0.1,"Fraco retorno",IF(VLOOKUP(BM139,Fundamentus!A:U,17,FALSE)&gt;0.1,"Bom retorno","n/a"))</f>
        <v>Bom retorno</v>
      </c>
      <c r="ES139" s="17" t="str">
        <f>IF(VLOOKUP(BM139,Fundamentus!A:U,16,FALSE)&lt;0.1,"Ineficiente",IF(VLOOKUP(BM139,Fundamentus!A:U,16,FALSE)&gt;0.1,"Eficiente","n/a"))</f>
        <v>Eficiente</v>
      </c>
      <c r="ET139" s="33" t="str">
        <f>IF(VLOOKUP(BM139,Fundamentus!A:U,16,FALSE)&lt;0.1,"Oper. Ineficiente",IF(VLOOKUP(BM139,Fundamentus!A:U,16,FALSE)&gt;0.1,"Oper.Eficiente","n/a"))</f>
        <v>Oper.Eficiente</v>
      </c>
      <c r="EU139" s="34">
        <f>VLOOKUP(BM139,Fundamentus!A:U,14,FALSE)</f>
        <v>6.7400000000000002E-2</v>
      </c>
      <c r="EV139" s="17" t="str">
        <f>IF(VLOOKUP(BM139,Fundamentus!A:U,21,FALSE)&lt;0,"Negativo",IF(VLOOKUP(BM139,Fundamentus!A:U,21,FALSE)&lt;0.05,"Fraco",IF(VLOOKUP(BM139,Fundamentus!A:U,21,FALSE)&lt;0.1,"Bom",IF(VLOOKUP(BM139,Fundamentus!A:U,21,FALSE)&gt;0.1,"Muito bom","n/a"))))</f>
        <v>Bom</v>
      </c>
      <c r="EX139" s="29" t="str">
        <f>IF(VLOOKUP(BM139,Fundamentus!A:U,15,FALSE)&gt;1,"Bom",IF(VLOOKUP(BM139,Fundamentus!A:U,15,FALSE)&lt;1,"Ruim","n/a"))</f>
        <v>Bom</v>
      </c>
      <c r="EY139" s="17" t="str">
        <f>IF(VLOOKUP(BM139,Fundamentus!A:U,20,FALSE)&lt;0.5,"Baixa",IF(VLOOKUP(BM139,Fundamentus!A:U,20,FALSE)&lt;1,"Moderada",IF(VLOOKUP(BM139,Fundamentus!A:U,20,FALSE)&lt;2,"Alerta",IF(VLOOKUP(BM139,Fundamentus!A:U,20,FALSE)&gt;2,"Alta","n/a"))))</f>
        <v>Alerta</v>
      </c>
      <c r="EZ139" s="10"/>
    </row>
    <row r="140" spans="1:156" s="2" customFormat="1" ht="11.25" x14ac:dyDescent="0.2">
      <c r="A140" s="4">
        <v>22.35</v>
      </c>
      <c r="B140" s="4">
        <v>23.22</v>
      </c>
      <c r="C140" s="4">
        <v>23.58</v>
      </c>
      <c r="D140" s="4">
        <v>23.76</v>
      </c>
      <c r="E140" s="4">
        <v>23.3</v>
      </c>
      <c r="F140" s="4">
        <v>23.49</v>
      </c>
      <c r="G140" s="4">
        <v>22.73</v>
      </c>
      <c r="H140" s="4">
        <v>22.65</v>
      </c>
      <c r="I140" s="4">
        <v>23.09</v>
      </c>
      <c r="J140" s="4">
        <v>22.71</v>
      </c>
      <c r="K140" s="4">
        <v>22.85</v>
      </c>
      <c r="L140" s="4">
        <v>21.83</v>
      </c>
      <c r="M140" s="4">
        <v>22.21</v>
      </c>
      <c r="N140" s="4">
        <v>21.6</v>
      </c>
      <c r="O140" s="4">
        <v>21.52</v>
      </c>
      <c r="P140" s="4">
        <v>21.9</v>
      </c>
      <c r="Q140" s="4">
        <v>22.83</v>
      </c>
      <c r="R140" s="4">
        <v>22.04</v>
      </c>
      <c r="S140" s="4">
        <v>21.51</v>
      </c>
      <c r="T140" s="4">
        <v>22.91</v>
      </c>
      <c r="U140" s="4">
        <v>21.36</v>
      </c>
      <c r="V140" s="4">
        <v>20.399999999999999</v>
      </c>
      <c r="W140" s="4">
        <v>20.29</v>
      </c>
      <c r="X140" s="4">
        <v>20.37</v>
      </c>
      <c r="Y140" s="4">
        <v>19.989999999999998</v>
      </c>
      <c r="Z140" s="4">
        <v>20.2</v>
      </c>
      <c r="AA140" s="4">
        <v>18.57</v>
      </c>
      <c r="AB140" s="4">
        <v>17.29</v>
      </c>
      <c r="AC140" s="4">
        <v>16.399999999999999</v>
      </c>
      <c r="AD140" s="4">
        <v>16.53</v>
      </c>
      <c r="AE140" s="4">
        <v>15.2</v>
      </c>
      <c r="AF140" s="4">
        <v>14.6</v>
      </c>
      <c r="AG140" s="4">
        <v>14.2</v>
      </c>
      <c r="AH140" s="4">
        <v>13.17</v>
      </c>
      <c r="AI140" s="4">
        <v>12.77</v>
      </c>
      <c r="AJ140" s="4">
        <v>12.28</v>
      </c>
      <c r="AK140" s="4">
        <v>12.05</v>
      </c>
      <c r="AL140" s="4">
        <v>12.65</v>
      </c>
      <c r="AM140" s="4">
        <v>13.53</v>
      </c>
      <c r="AN140" s="4">
        <v>14.34</v>
      </c>
      <c r="AO140" s="4">
        <v>14.57</v>
      </c>
      <c r="AP140" s="4">
        <v>15.36</v>
      </c>
      <c r="AQ140" s="4">
        <v>15.05</v>
      </c>
      <c r="AR140" s="4">
        <v>12.9</v>
      </c>
      <c r="AS140" s="4">
        <v>12.86</v>
      </c>
      <c r="AT140" s="4">
        <v>12.14</v>
      </c>
      <c r="AU140" s="4">
        <v>12.164999999999999</v>
      </c>
      <c r="AV140" s="4">
        <v>12.88</v>
      </c>
      <c r="AW140" s="4">
        <v>12.71</v>
      </c>
      <c r="AX140" s="4">
        <v>11.6</v>
      </c>
      <c r="AY140" s="12">
        <v>13.05</v>
      </c>
      <c r="AZ140" s="12">
        <v>13.7</v>
      </c>
      <c r="BA140" s="12">
        <v>14.15</v>
      </c>
      <c r="BB140" s="15">
        <v>14.28</v>
      </c>
      <c r="BC140" s="52">
        <v>14.47</v>
      </c>
      <c r="BD140" s="52">
        <v>13.91</v>
      </c>
      <c r="BE140" s="52">
        <v>14.7</v>
      </c>
      <c r="BF140" s="52">
        <v>14.01</v>
      </c>
      <c r="BG140" s="67">
        <v>14.87</v>
      </c>
      <c r="BH140" s="52">
        <v>15.67</v>
      </c>
      <c r="BI140" s="52">
        <v>16</v>
      </c>
      <c r="BJ140" s="52">
        <v>15.12</v>
      </c>
      <c r="BK140" s="52">
        <v>14.28</v>
      </c>
      <c r="BL140" s="52" cm="1">
        <f t="array" aca="1" ref="BL140" ca="1">_FV(EC140,"Preço")</f>
        <v>14.28</v>
      </c>
      <c r="BM140" s="69" t="s">
        <v>136</v>
      </c>
      <c r="BN140" s="36" cm="1">
        <f t="array" aca="1" ref="BN140" ca="1">_FV(EC140,"Média de volume",TRUE)</f>
        <v>2224130</v>
      </c>
      <c r="BO140" s="36">
        <v>1570400</v>
      </c>
      <c r="BP140" s="36" cm="1">
        <f t="array" aca="1" ref="BP140" ca="1">_FV(EC140,"Volume")</f>
        <v>1570400</v>
      </c>
      <c r="BQ140" s="24" cm="1">
        <f t="array" aca="1" ref="BQ140" ca="1">_FV(EC140,"Beta")</f>
        <v>1.2587999999999999</v>
      </c>
      <c r="BR140" s="71" cm="1">
        <f t="array" aca="1" ref="BR140" ca="1">_FV(EC140,"Variação (%)",TRUE)</f>
        <v>-5.5710000000000004E-3</v>
      </c>
      <c r="BT140" s="17" cm="1">
        <f t="array" aca="1" ref="BT140" ca="1">_FV(EC140,"Baixo")</f>
        <v>14.11</v>
      </c>
      <c r="BU140" s="17" cm="1">
        <f t="array" aca="1" ref="BU140" ca="1">_FV(EC140,"Alto")</f>
        <v>14.41</v>
      </c>
      <c r="BV140" s="24"/>
      <c r="BW140" s="63">
        <f ca="1">SQRT(22.5*(BL140/VLOOKUP(BM140,Fundamentus!A:U,3,FALSE))*(BL140/VLOOKUP(BM140,Fundamentus!A:U,4,FALSE)))</f>
        <v>15.73741238148213</v>
      </c>
      <c r="BY140" s="62">
        <f t="shared" ca="1" si="168"/>
        <v>0</v>
      </c>
      <c r="BZ140" s="8"/>
      <c r="CA140" s="61">
        <f t="shared" si="169"/>
        <v>11.6</v>
      </c>
      <c r="CB140" s="61">
        <f t="shared" si="170"/>
        <v>23.76</v>
      </c>
      <c r="CC140" s="61">
        <f t="shared" si="171"/>
        <v>17.439920634920632</v>
      </c>
      <c r="CD140" s="14"/>
      <c r="CE140" s="35">
        <f t="shared" si="154"/>
        <v>13.605914402095706</v>
      </c>
      <c r="CF140" s="15">
        <f t="shared" si="172"/>
        <v>15.015000000000327</v>
      </c>
      <c r="CG140" s="35">
        <f t="shared" si="155"/>
        <v>16.424085597904948</v>
      </c>
      <c r="CI140" s="14"/>
      <c r="CJ140" s="17">
        <f t="shared" si="156"/>
        <v>-2.2666666666666746</v>
      </c>
      <c r="CK140" s="17">
        <f t="shared" si="157"/>
        <v>4.6666666666666625</v>
      </c>
      <c r="CL140" s="17">
        <f t="shared" si="158"/>
        <v>9.8933333333333273</v>
      </c>
      <c r="CM140" s="38">
        <f t="shared" si="173"/>
        <v>16.826666666666664</v>
      </c>
      <c r="CN140" s="17">
        <f t="shared" si="159"/>
        <v>22.053333333333327</v>
      </c>
      <c r="CO140" s="17">
        <f t="shared" si="160"/>
        <v>28.986666666666665</v>
      </c>
      <c r="CP140" s="17">
        <f t="shared" si="161"/>
        <v>34.213333333333331</v>
      </c>
      <c r="CQ140" s="2" cm="1">
        <f t="array" aca="1" ref="CQ140" ca="1">MAX(_xlfn._xlws.FILTER(CJ140:CP140,CJ140:CP140&lt;BL140))</f>
        <v>9.8933333333333273</v>
      </c>
      <c r="CR140" s="2" cm="1">
        <f t="array" aca="1" ref="CR140" ca="1">MIN(_xlfn._xlws.FILTER($CJ140:$CP140,$CJ140:$CP140&gt;BL140))</f>
        <v>16.826666666666664</v>
      </c>
      <c r="CS140" s="16">
        <f t="shared" ca="1" si="136"/>
        <v>0.70080862533692811</v>
      </c>
      <c r="CT140" s="20">
        <f t="shared" ca="1" si="137"/>
        <v>-0.35040431266846406</v>
      </c>
      <c r="CU140" s="20">
        <f t="shared" ca="1" si="138"/>
        <v>-0.23360287511230937</v>
      </c>
      <c r="CV140" s="20">
        <f t="shared" ca="1" si="139"/>
        <v>-0.14016172506738561</v>
      </c>
      <c r="CW140" s="20">
        <f t="shared" ca="1" si="140"/>
        <v>-7.7867625037436453E-2</v>
      </c>
      <c r="CX140" s="20">
        <f t="shared" ca="1" si="141"/>
        <v>-4.1224036784525186E-2</v>
      </c>
      <c r="CY140" s="20">
        <f t="shared" ca="1" si="142"/>
        <v>-2.1236625010209943E-2</v>
      </c>
      <c r="CZ140" s="20">
        <f t="shared" ca="1" si="143"/>
        <v>-1.0781671159029664E-2</v>
      </c>
      <c r="DA140" s="21">
        <f t="shared" ca="1" si="144"/>
        <v>1.0781671159029664E-2</v>
      </c>
      <c r="DB140" s="21">
        <f t="shared" ca="1" si="145"/>
        <v>2.1236625010209943E-2</v>
      </c>
      <c r="DC140" s="21">
        <f t="shared" ca="1" si="146"/>
        <v>4.1224036784525186E-2</v>
      </c>
      <c r="DD140" s="21">
        <f t="shared" ca="1" si="147"/>
        <v>7.7867625037436453E-2</v>
      </c>
      <c r="DE140" s="21">
        <f t="shared" ca="1" si="148"/>
        <v>0.14016172506738561</v>
      </c>
      <c r="DF140" s="21">
        <f t="shared" ca="1" si="149"/>
        <v>0.23360287511230937</v>
      </c>
      <c r="DG140" s="21">
        <f t="shared" ca="1" si="150"/>
        <v>0.35040431266846406</v>
      </c>
      <c r="DI140" s="16" cm="1">
        <f t="array" aca="1" ref="DI140" ca="1">MAX(_xlfn._xlws.FILTER(CT140:DG140,CT140:DG140&lt;BR140))</f>
        <v>-1.0781671159029664E-2</v>
      </c>
      <c r="DJ140" s="16" cm="1">
        <f t="array" aca="1" ref="DJ140" ca="1">MIN(_xlfn._xlws.FILTER(CT140:DG140,CT140:DG140&gt;BR140))</f>
        <v>1.0781671159029664E-2</v>
      </c>
      <c r="DK140" s="2" cm="1">
        <f t="array" aca="1" ref="DK140" ca="1">_FV(EC140,"Fechamento anterior",TRUE)</f>
        <v>14.36</v>
      </c>
      <c r="DL140" s="28">
        <f t="shared" ca="1" si="162"/>
        <v>0.2416434540389979</v>
      </c>
      <c r="DM140" s="15">
        <f t="shared" ca="1" si="151"/>
        <v>14.205175202156333</v>
      </c>
      <c r="DN140" s="15">
        <f t="shared" ca="1" si="152"/>
        <v>14.514824797843666</v>
      </c>
      <c r="DO140" s="9"/>
      <c r="DP140" s="9"/>
      <c r="DQ140" s="9"/>
      <c r="DR140" s="89">
        <v>3.3204101597883999E-2</v>
      </c>
      <c r="DS140" s="89">
        <v>2.2196446459640445E-2</v>
      </c>
      <c r="DT140" s="89">
        <v>1.0454953851180279E-2</v>
      </c>
      <c r="DU140" s="89">
        <v>2.1563342318059328E-2</v>
      </c>
      <c r="DV140" s="89">
        <f t="shared" ca="1" si="163"/>
        <v>2.1563342318059328E-2</v>
      </c>
      <c r="DW140" s="72">
        <f t="shared" ca="1" si="164"/>
        <v>-0.52161486931192036</v>
      </c>
      <c r="DX140" s="37"/>
      <c r="DY140" s="35">
        <f t="shared" si="174"/>
        <v>0.70454279895231042</v>
      </c>
      <c r="DZ140" s="56"/>
      <c r="EA140" s="56"/>
      <c r="EC140" s="2" t="e" vm="140">
        <v>#VALUE!</v>
      </c>
      <c r="EE140" s="10" cm="1">
        <f t="array" aca="1" ref="EE140" ca="1">_FV(EC140,"Ações em circulação",TRUE)</f>
        <v>327611100</v>
      </c>
      <c r="EF140" s="18">
        <f>VLOOKUP(BM140,Fundamentus!A:U,5,FALSE)</f>
        <v>1.05</v>
      </c>
      <c r="EG140" s="2">
        <f t="shared" ca="1" si="165"/>
        <v>4455510960</v>
      </c>
      <c r="EH140" s="17">
        <v>418818030.24000001</v>
      </c>
      <c r="EI140" s="17">
        <f t="shared" ca="1" si="166"/>
        <v>418818030.24000001</v>
      </c>
      <c r="EK140" s="16">
        <f t="shared" ca="1" si="153"/>
        <v>0</v>
      </c>
      <c r="EL140" s="32" t="str">
        <f>IF(VLOOKUP(BM140,Fundamentus!A:U,3,FALSE)&lt;15,"Bom",IF(VLOOKUP(BM140,Fundamentus!A:U,3,FALSE)&gt;15,"Ruim","n/a"))</f>
        <v>Bom</v>
      </c>
      <c r="EM140" s="28" t="str">
        <f>IF(VLOOKUP(BM140,Fundamentus!A:U,4,FALSE)&lt;1,"Baixo",IF(VLOOKUP(BM140,Fundamentus!A:U,4,FALSE)&lt;1.5,"Moderado",IF(VLOOKUP(BM140,Fundamentus!A:U,4,FALSE)&gt;1.5,"Alto","n/a")))</f>
        <v>Alto</v>
      </c>
      <c r="EN140" s="17" t="str">
        <f>IF(VLOOKUP(BM140,Fundamentus!A:U,8,FALSE)&lt;0,"Risco elevado",IF(VLOOKUP(BM140,Fundamentus!A:U,8,FALSE)&lt;1,"Saudável",IF(VLOOKUP(BM140,Fundamentus!A:U,8,FALSE)&lt;3,"Estável",IF(VLOOKUP(BM140,Fundamentus!A:U,8,FALSE)&gt;3,"Alerta","n/a"))))</f>
        <v>Estável</v>
      </c>
      <c r="EO140" s="28" t="str">
        <f t="shared" si="167"/>
        <v>Bom</v>
      </c>
      <c r="EP140" s="17" t="str">
        <f>IF(VLOOKUP(BM140,Fundamentus!A:U,12,FALSE)&lt;2,"Subvalorizada",IF(VLOOKUP(BM140,Fundamentus!A:U,12,FALSE)&lt;6,"Muita barata",IF(VLOOKUP(BM140,Fundamentus!A:U,12,FALSE)&lt;6,"Barata",IF(VLOOKUP(BM140,Fundamentus!A:U,12,FALSE)&lt;8,"Atrativa",IF(VLOOKUP(BM140,Fundamentus!A:U,12,FALSE)&gt;8,"Supervalorizada","n/a")))))</f>
        <v>Supervalorizada</v>
      </c>
      <c r="ER140" s="17" t="str">
        <f>IF(VLOOKUP(BM140,Fundamentus!A:U,17,FALSE)&lt;0.1,"Fraco retorno",IF(VLOOKUP(BM140,Fundamentus!A:U,17,FALSE)&gt;0.1,"Bom retorno","n/a"))</f>
        <v>Bom retorno</v>
      </c>
      <c r="ES140" s="17" t="str">
        <f>IF(VLOOKUP(BM140,Fundamentus!A:U,16,FALSE)&lt;0.1,"Ineficiente",IF(VLOOKUP(BM140,Fundamentus!A:U,16,FALSE)&gt;0.1,"Eficiente","n/a"))</f>
        <v>Eficiente</v>
      </c>
      <c r="ET140" s="33" t="str">
        <f>IF(VLOOKUP(BM140,Fundamentus!A:U,16,FALSE)&lt;0.1,"Oper. Ineficiente",IF(VLOOKUP(BM140,Fundamentus!A:U,16,FALSE)&gt;0.1,"Oper.Eficiente","n/a"))</f>
        <v>Oper.Eficiente</v>
      </c>
      <c r="EU140" s="34">
        <f>VLOOKUP(BM140,Fundamentus!A:U,14,FALSE)</f>
        <v>9.4E-2</v>
      </c>
      <c r="EV140" s="17" t="str">
        <f>IF(VLOOKUP(BM140,Fundamentus!A:U,21,FALSE)&lt;0,"Negativo",IF(VLOOKUP(BM140,Fundamentus!A:U,21,FALSE)&lt;0.05,"Fraco",IF(VLOOKUP(BM140,Fundamentus!A:U,21,FALSE)&lt;0.1,"Bom",IF(VLOOKUP(BM140,Fundamentus!A:U,21,FALSE)&gt;0.1,"Muito bom","n/a"))))</f>
        <v>Muito bom</v>
      </c>
      <c r="EX140" s="29" t="str">
        <f>IF(VLOOKUP(BM140,Fundamentus!A:U,15,FALSE)&gt;1,"Bom",IF(VLOOKUP(BM140,Fundamentus!A:U,15,FALSE)&lt;1,"Ruim","n/a"))</f>
        <v>Bom</v>
      </c>
      <c r="EY140" s="17" t="str">
        <f>IF(VLOOKUP(BM140,Fundamentus!A:U,20,FALSE)&lt;0.5,"Baixa",IF(VLOOKUP(BM140,Fundamentus!A:U,20,FALSE)&lt;1,"Moderada",IF(VLOOKUP(BM140,Fundamentus!A:U,20,FALSE)&lt;2,"Alerta",IF(VLOOKUP(BM140,Fundamentus!A:U,20,FALSE)&gt;2,"Alta","n/a"))))</f>
        <v>Baixa</v>
      </c>
      <c r="EZ140" s="10"/>
    </row>
    <row r="141" spans="1:156" s="2" customFormat="1" ht="11.25" x14ac:dyDescent="0.2">
      <c r="A141" s="4">
        <v>5.24</v>
      </c>
      <c r="B141" s="4">
        <v>5.28</v>
      </c>
      <c r="C141" s="4">
        <v>6.26</v>
      </c>
      <c r="D141" s="4">
        <v>6.7</v>
      </c>
      <c r="E141" s="4">
        <v>7.1</v>
      </c>
      <c r="F141" s="4">
        <v>7.16</v>
      </c>
      <c r="G141" s="4">
        <v>6.53</v>
      </c>
      <c r="H141" s="4">
        <v>6.47</v>
      </c>
      <c r="I141" s="4">
        <v>6.94</v>
      </c>
      <c r="J141" s="4">
        <v>7.07</v>
      </c>
      <c r="K141" s="4">
        <v>7.4</v>
      </c>
      <c r="L141" s="4">
        <v>6.67</v>
      </c>
      <c r="M141" s="4">
        <v>5.32</v>
      </c>
      <c r="N141" s="4">
        <v>4.8899999999999997</v>
      </c>
      <c r="O141" s="4">
        <v>4.66</v>
      </c>
      <c r="P141" s="4">
        <v>4.68</v>
      </c>
      <c r="Q141" s="4">
        <v>5.42</v>
      </c>
      <c r="R141" s="4">
        <v>4.9800000000000004</v>
      </c>
      <c r="S141" s="4">
        <v>4.68</v>
      </c>
      <c r="T141" s="4">
        <v>4.84</v>
      </c>
      <c r="U141" s="4">
        <v>4.7</v>
      </c>
      <c r="V141" s="4">
        <v>5.5</v>
      </c>
      <c r="W141" s="4">
        <v>6.17</v>
      </c>
      <c r="X141" s="4">
        <v>5.75</v>
      </c>
      <c r="Y141" s="4">
        <v>5.92</v>
      </c>
      <c r="Z141" s="4">
        <v>5.93</v>
      </c>
      <c r="AA141" s="4">
        <v>5.71</v>
      </c>
      <c r="AB141" s="4">
        <v>5.36</v>
      </c>
      <c r="AC141" s="4">
        <v>4.92</v>
      </c>
      <c r="AD141" s="4">
        <v>6.23</v>
      </c>
      <c r="AE141" s="4">
        <v>6.35</v>
      </c>
      <c r="AF141" s="4">
        <v>6.11</v>
      </c>
      <c r="AG141" s="4">
        <v>5.9</v>
      </c>
      <c r="AH141" s="4">
        <v>4.75</v>
      </c>
      <c r="AI141" s="4">
        <v>4.6900000000000004</v>
      </c>
      <c r="AJ141" s="4">
        <v>4.66</v>
      </c>
      <c r="AK141" s="4">
        <v>4.6399999999999997</v>
      </c>
      <c r="AL141" s="4">
        <v>5.12</v>
      </c>
      <c r="AM141" s="4">
        <v>5.0599999999999996</v>
      </c>
      <c r="AN141" s="4">
        <v>5.44</v>
      </c>
      <c r="AO141" s="4">
        <v>5.5</v>
      </c>
      <c r="AP141" s="4">
        <v>5.84</v>
      </c>
      <c r="AQ141" s="4">
        <v>5.95</v>
      </c>
      <c r="AR141" s="4">
        <v>5.19</v>
      </c>
      <c r="AS141" s="4">
        <v>5.25</v>
      </c>
      <c r="AT141" s="4">
        <v>4.99</v>
      </c>
      <c r="AU141" s="4">
        <v>5.0250000000000004</v>
      </c>
      <c r="AV141" s="4">
        <v>4.8499999999999996</v>
      </c>
      <c r="AW141" s="4">
        <v>4.1100000000000003</v>
      </c>
      <c r="AX141" s="4">
        <v>4.08</v>
      </c>
      <c r="AY141" s="12">
        <v>3.93</v>
      </c>
      <c r="AZ141" s="12">
        <v>4.1399999999999997</v>
      </c>
      <c r="BA141" s="12">
        <v>3.93</v>
      </c>
      <c r="BB141" s="15">
        <v>4.1399999999999997</v>
      </c>
      <c r="BC141" s="52">
        <v>4.78</v>
      </c>
      <c r="BD141" s="52">
        <v>4.68</v>
      </c>
      <c r="BE141" s="52">
        <v>4.7</v>
      </c>
      <c r="BF141" s="52">
        <v>4.37</v>
      </c>
      <c r="BG141" s="67">
        <v>4.3099999999999996</v>
      </c>
      <c r="BH141" s="52">
        <v>4.2</v>
      </c>
      <c r="BI141" s="52">
        <v>4.84</v>
      </c>
      <c r="BJ141" s="52">
        <v>4.8899999999999997</v>
      </c>
      <c r="BK141" s="52">
        <v>4.9000000000000004</v>
      </c>
      <c r="BL141" s="52" cm="1">
        <f t="array" aca="1" ref="BL141" ca="1">_FV(EC141,"Preço")</f>
        <v>4.9000000000000004</v>
      </c>
      <c r="BM141" s="69" t="s">
        <v>137</v>
      </c>
      <c r="BN141" s="36" cm="1">
        <f t="array" aca="1" ref="BN141" ca="1">_FV(EC141,"Média de volume",TRUE)</f>
        <v>3416700</v>
      </c>
      <c r="BO141" s="36">
        <v>3074300</v>
      </c>
      <c r="BP141" s="36" cm="1">
        <f t="array" aca="1" ref="BP141" ca="1">_FV(EC141,"Volume")</f>
        <v>3074300</v>
      </c>
      <c r="BQ141" s="24" cm="1">
        <f t="array" aca="1" ref="BQ141" ca="1">_FV(EC141,"Beta")</f>
        <v>0.97650000000000003</v>
      </c>
      <c r="BR141" s="71" cm="1">
        <f t="array" aca="1" ref="BR141" ca="1">_FV(EC141,"Variação (%)",TRUE)</f>
        <v>1.8710999999999998E-2</v>
      </c>
      <c r="BT141" s="17" cm="1">
        <f t="array" aca="1" ref="BT141" ca="1">_FV(EC141,"Baixo")</f>
        <v>4.76</v>
      </c>
      <c r="BU141" s="17" cm="1">
        <f t="array" aca="1" ref="BU141" ca="1">_FV(EC141,"Alto")</f>
        <v>4.93</v>
      </c>
      <c r="BV141" s="24"/>
      <c r="BW141" s="63">
        <f ca="1">SQRT(22.5*(BL141/VLOOKUP(BM141,Fundamentus!A:U,3,FALSE))*(BL141/VLOOKUP(BM141,Fundamentus!A:U,4,FALSE)))</f>
        <v>7.2598833638503697</v>
      </c>
      <c r="BY141" s="62">
        <f t="shared" ca="1" si="168"/>
        <v>0</v>
      </c>
      <c r="BZ141" s="8"/>
      <c r="CA141" s="61">
        <f t="shared" si="169"/>
        <v>3.93</v>
      </c>
      <c r="CB141" s="61">
        <f t="shared" si="170"/>
        <v>7.4</v>
      </c>
      <c r="CC141" s="61">
        <f t="shared" si="171"/>
        <v>5.3300793650793628</v>
      </c>
      <c r="CD141" s="14"/>
      <c r="CE141" s="35">
        <f t="shared" si="154"/>
        <v>4.2220694250870494</v>
      </c>
      <c r="CF141" s="15">
        <f t="shared" si="172"/>
        <v>4.8150000000000546</v>
      </c>
      <c r="CG141" s="35">
        <f t="shared" si="155"/>
        <v>5.4079305749130597</v>
      </c>
      <c r="CI141" s="14"/>
      <c r="CJ141" s="17">
        <f t="shared" si="156"/>
        <v>-5.6666666666667975E-2</v>
      </c>
      <c r="CK141" s="17">
        <f t="shared" si="157"/>
        <v>1.9366666666666661</v>
      </c>
      <c r="CL141" s="17">
        <f t="shared" si="158"/>
        <v>3.4133333333333322</v>
      </c>
      <c r="CM141" s="38">
        <f t="shared" si="173"/>
        <v>5.4066666666666663</v>
      </c>
      <c r="CN141" s="17">
        <f t="shared" si="159"/>
        <v>6.8833333333333329</v>
      </c>
      <c r="CO141" s="17">
        <f t="shared" si="160"/>
        <v>8.8766666666666669</v>
      </c>
      <c r="CP141" s="17">
        <f t="shared" si="161"/>
        <v>10.353333333333332</v>
      </c>
      <c r="CQ141" s="2" cm="1">
        <f t="array" aca="1" ref="CQ141" ca="1">MAX(_xlfn._xlws.FILTER(CJ141:CP141,CJ141:CP141&lt;BL141))</f>
        <v>3.4133333333333322</v>
      </c>
      <c r="CR141" s="2" cm="1">
        <f t="array" aca="1" ref="CR141" ca="1">MIN(_xlfn._xlws.FILTER($CJ141:$CP141,$CJ141:$CP141&gt;BL141))</f>
        <v>5.4066666666666663</v>
      </c>
      <c r="CS141" s="16">
        <f t="shared" ca="1" si="136"/>
        <v>0.58398437500000044</v>
      </c>
      <c r="CT141" s="20">
        <f t="shared" ca="1" si="137"/>
        <v>-0.29199218750000022</v>
      </c>
      <c r="CU141" s="20">
        <f t="shared" ca="1" si="138"/>
        <v>-0.19466145833333348</v>
      </c>
      <c r="CV141" s="20">
        <f t="shared" ca="1" si="139"/>
        <v>-0.11679687500000009</v>
      </c>
      <c r="CW141" s="20">
        <f t="shared" ca="1" si="140"/>
        <v>-6.4887152777777832E-2</v>
      </c>
      <c r="CX141" s="20">
        <f t="shared" ca="1" si="141"/>
        <v>-3.4352022058823553E-2</v>
      </c>
      <c r="CY141" s="20">
        <f t="shared" ca="1" si="142"/>
        <v>-1.7696496212121226E-2</v>
      </c>
      <c r="CZ141" s="20">
        <f t="shared" ca="1" si="143"/>
        <v>-8.9843750000000062E-3</v>
      </c>
      <c r="DA141" s="21">
        <f t="shared" ca="1" si="144"/>
        <v>8.9843750000000062E-3</v>
      </c>
      <c r="DB141" s="21">
        <f t="shared" ca="1" si="145"/>
        <v>1.7696496212121226E-2</v>
      </c>
      <c r="DC141" s="21">
        <f t="shared" ca="1" si="146"/>
        <v>3.4352022058823553E-2</v>
      </c>
      <c r="DD141" s="21">
        <f t="shared" ca="1" si="147"/>
        <v>6.4887152777777832E-2</v>
      </c>
      <c r="DE141" s="21">
        <f t="shared" ca="1" si="148"/>
        <v>0.11679687500000009</v>
      </c>
      <c r="DF141" s="21">
        <f t="shared" ca="1" si="149"/>
        <v>0.19466145833333348</v>
      </c>
      <c r="DG141" s="21">
        <f t="shared" ca="1" si="150"/>
        <v>0.29199218750000022</v>
      </c>
      <c r="DI141" s="16" cm="1">
        <f t="array" aca="1" ref="DI141" ca="1">MAX(_xlfn._xlws.FILTER(CT141:DG141,CT141:DG141&lt;BR141))</f>
        <v>1.7696496212121226E-2</v>
      </c>
      <c r="DJ141" s="16" cm="1">
        <f t="array" aca="1" ref="DJ141" ca="1">MIN(_xlfn._xlws.FILTER(CT141:DG141,CT141:DG141&gt;BR141))</f>
        <v>3.4352022058823553E-2</v>
      </c>
      <c r="DK141" s="2" cm="1">
        <f t="array" aca="1" ref="DK141" ca="1">_FV(EC141,"Fechamento anterior",TRUE)</f>
        <v>4.8099999999999996</v>
      </c>
      <c r="DL141" s="28">
        <f t="shared" ca="1" si="162"/>
        <v>6.0912066555884867E-2</v>
      </c>
      <c r="DM141" s="15">
        <f t="shared" ca="1" si="151"/>
        <v>4.8951201467803029</v>
      </c>
      <c r="DN141" s="15">
        <f t="shared" ca="1" si="152"/>
        <v>4.9752332261029411</v>
      </c>
      <c r="DO141" s="9"/>
      <c r="DP141" s="9"/>
      <c r="DQ141" s="9"/>
      <c r="DR141" s="89">
        <v>1.583462241597525E-2</v>
      </c>
      <c r="DS141" s="89">
        <v>3.7776050214505759E-2</v>
      </c>
      <c r="DT141" s="89">
        <v>1.7968750000000012E-2</v>
      </c>
      <c r="DU141" s="89">
        <v>1.6655525846702327E-2</v>
      </c>
      <c r="DV141" s="89">
        <f t="shared" ca="1" si="163"/>
        <v>1.6655525846702327E-2</v>
      </c>
      <c r="DW141" s="72">
        <f t="shared" ca="1" si="164"/>
        <v>0.14335573774790919</v>
      </c>
      <c r="DX141" s="37"/>
      <c r="DY141" s="35">
        <f t="shared" si="174"/>
        <v>0.29646528745650252</v>
      </c>
      <c r="DZ141" s="56"/>
      <c r="EA141" s="56"/>
      <c r="EC141" s="2" t="e" vm="141">
        <v>#VALUE!</v>
      </c>
      <c r="EE141" s="10" cm="1">
        <f t="array" aca="1" ref="EE141" ca="1">_FV(EC141,"Ações em circulação",TRUE)</f>
        <v>651072700</v>
      </c>
      <c r="EF141" s="18">
        <f>VLOOKUP(BM141,Fundamentus!A:U,5,FALSE)</f>
        <v>0.318</v>
      </c>
      <c r="EG141" s="2">
        <f t="shared" ca="1" si="165"/>
        <v>10032252295.597485</v>
      </c>
      <c r="EH141" s="17">
        <v>331064325.75471699</v>
      </c>
      <c r="EI141" s="17">
        <f t="shared" ca="1" si="166"/>
        <v>331064325.75471699</v>
      </c>
      <c r="EK141" s="16">
        <f t="shared" ca="1" si="153"/>
        <v>0</v>
      </c>
      <c r="EL141" s="32" t="str">
        <f>IF(VLOOKUP(BM141,Fundamentus!A:U,3,FALSE)&lt;15,"Bom",IF(VLOOKUP(BM141,Fundamentus!A:U,3,FALSE)&gt;15,"Ruim","n/a"))</f>
        <v>Ruim</v>
      </c>
      <c r="EM141" s="28" t="str">
        <f>IF(VLOOKUP(BM141,Fundamentus!A:U,4,FALSE)&lt;1,"Baixo",IF(VLOOKUP(BM141,Fundamentus!A:U,4,FALSE)&lt;1.5,"Moderado",IF(VLOOKUP(BM141,Fundamentus!A:U,4,FALSE)&gt;1.5,"Alto","n/a")))</f>
        <v>Baixo</v>
      </c>
      <c r="EN141" s="17" t="str">
        <f>IF(VLOOKUP(BM141,Fundamentus!A:U,8,FALSE)&lt;0,"Risco elevado",IF(VLOOKUP(BM141,Fundamentus!A:U,8,FALSE)&lt;1,"Saudável",IF(VLOOKUP(BM141,Fundamentus!A:U,8,FALSE)&lt;3,"Estável",IF(VLOOKUP(BM141,Fundamentus!A:U,8,FALSE)&gt;3,"Alerta","n/a"))))</f>
        <v>Estável</v>
      </c>
      <c r="EO141" s="28" t="str">
        <f t="shared" si="167"/>
        <v>Ruim</v>
      </c>
      <c r="EP141" s="17" t="str">
        <f>IF(VLOOKUP(BM141,Fundamentus!A:U,12,FALSE)&lt;2,"Subvalorizada",IF(VLOOKUP(BM141,Fundamentus!A:U,12,FALSE)&lt;6,"Muita barata",IF(VLOOKUP(BM141,Fundamentus!A:U,12,FALSE)&lt;6,"Barata",IF(VLOOKUP(BM141,Fundamentus!A:U,12,FALSE)&lt;8,"Atrativa",IF(VLOOKUP(BM141,Fundamentus!A:U,12,FALSE)&gt;8,"Supervalorizada","n/a")))))</f>
        <v>Muita barata</v>
      </c>
      <c r="ER141" s="17" t="str">
        <f>IF(VLOOKUP(BM141,Fundamentus!A:U,17,FALSE)&lt;0.1,"Fraco retorno",IF(VLOOKUP(BM141,Fundamentus!A:U,17,FALSE)&gt;0.1,"Bom retorno","n/a"))</f>
        <v>Fraco retorno</v>
      </c>
      <c r="ES141" s="17" t="str">
        <f>IF(VLOOKUP(BM141,Fundamentus!A:U,16,FALSE)&lt;0.1,"Ineficiente",IF(VLOOKUP(BM141,Fundamentus!A:U,16,FALSE)&gt;0.1,"Eficiente","n/a"))</f>
        <v>Ineficiente</v>
      </c>
      <c r="ET141" s="33" t="str">
        <f>IF(VLOOKUP(BM141,Fundamentus!A:U,16,FALSE)&lt;0.1,"Oper. Ineficiente",IF(VLOOKUP(BM141,Fundamentus!A:U,16,FALSE)&gt;0.1,"Oper.Eficiente","n/a"))</f>
        <v>Oper. Ineficiente</v>
      </c>
      <c r="EU141" s="34">
        <f>VLOOKUP(BM141,Fundamentus!A:U,14,FALSE)</f>
        <v>3.3000000000000002E-2</v>
      </c>
      <c r="EV141" s="17" t="str">
        <f>IF(VLOOKUP(BM141,Fundamentus!A:U,21,FALSE)&lt;0,"Negativo",IF(VLOOKUP(BM141,Fundamentus!A:U,21,FALSE)&lt;0.05,"Fraco",IF(VLOOKUP(BM141,Fundamentus!A:U,21,FALSE)&lt;0.1,"Bom",IF(VLOOKUP(BM141,Fundamentus!A:U,21,FALSE)&gt;0.1,"Muito bom","n/a"))))</f>
        <v>Negativo</v>
      </c>
      <c r="EX141" s="29" t="str">
        <f>IF(VLOOKUP(BM141,Fundamentus!A:U,15,FALSE)&gt;1,"Bom",IF(VLOOKUP(BM141,Fundamentus!A:U,15,FALSE)&lt;1,"Ruim","n/a"))</f>
        <v>Bom</v>
      </c>
      <c r="EY141" s="17" t="str">
        <f>IF(VLOOKUP(BM141,Fundamentus!A:U,20,FALSE)&lt;0.5,"Baixa",IF(VLOOKUP(BM141,Fundamentus!A:U,20,FALSE)&lt;1,"Moderada",IF(VLOOKUP(BM141,Fundamentus!A:U,20,FALSE)&lt;2,"Alerta",IF(VLOOKUP(BM141,Fundamentus!A:U,20,FALSE)&gt;2,"Alta","n/a"))))</f>
        <v>Moderada</v>
      </c>
      <c r="EZ141" s="10"/>
    </row>
    <row r="142" spans="1:156" s="2" customFormat="1" ht="11.25" x14ac:dyDescent="0.2">
      <c r="A142" s="4">
        <v>4.6900000000000004</v>
      </c>
      <c r="B142" s="4">
        <v>4.34</v>
      </c>
      <c r="C142" s="4">
        <v>4.2699999999999996</v>
      </c>
      <c r="D142" s="4">
        <v>4.18</v>
      </c>
      <c r="E142" s="4">
        <v>4.07</v>
      </c>
      <c r="F142" s="4">
        <v>4.01</v>
      </c>
      <c r="G142" s="4">
        <v>4.07</v>
      </c>
      <c r="H142" s="4">
        <v>4.1900000000000004</v>
      </c>
      <c r="I142" s="4">
        <v>4.3</v>
      </c>
      <c r="J142" s="4">
        <v>4.2</v>
      </c>
      <c r="K142" s="4">
        <v>4.22</v>
      </c>
      <c r="L142" s="4">
        <v>4.3</v>
      </c>
      <c r="M142" s="4">
        <v>4.25</v>
      </c>
      <c r="N142" s="4">
        <v>4.37</v>
      </c>
      <c r="O142" s="4">
        <v>4.1900000000000004</v>
      </c>
      <c r="P142" s="4">
        <v>4.2300000000000004</v>
      </c>
      <c r="Q142" s="4">
        <v>4.46</v>
      </c>
      <c r="R142" s="4">
        <v>4.32</v>
      </c>
      <c r="S142" s="4">
        <v>4.34</v>
      </c>
      <c r="T142" s="4">
        <v>4.3899999999999997</v>
      </c>
      <c r="U142" s="4">
        <v>4.25</v>
      </c>
      <c r="V142" s="4">
        <v>4.22</v>
      </c>
      <c r="W142" s="4">
        <v>4.2699999999999996</v>
      </c>
      <c r="X142" s="4">
        <v>4.03</v>
      </c>
      <c r="Y142" s="4">
        <v>4.1500000000000004</v>
      </c>
      <c r="Z142" s="4">
        <v>4.1399999999999997</v>
      </c>
      <c r="AA142" s="4">
        <v>4.21</v>
      </c>
      <c r="AB142" s="4">
        <v>4.18</v>
      </c>
      <c r="AC142" s="4">
        <v>4.12</v>
      </c>
      <c r="AD142" s="4">
        <v>4.3499999999999996</v>
      </c>
      <c r="AE142" s="4">
        <v>4.49</v>
      </c>
      <c r="AF142" s="4">
        <v>4.7</v>
      </c>
      <c r="AG142" s="4">
        <v>4.7699999999999996</v>
      </c>
      <c r="AH142" s="4">
        <v>4.9000000000000004</v>
      </c>
      <c r="AI142" s="4">
        <v>4.88</v>
      </c>
      <c r="AJ142" s="4">
        <v>4.76</v>
      </c>
      <c r="AK142" s="4">
        <v>4.7</v>
      </c>
      <c r="AL142" s="4">
        <v>4.6500000000000004</v>
      </c>
      <c r="AM142" s="4">
        <v>4.78</v>
      </c>
      <c r="AN142" s="4">
        <v>4.8</v>
      </c>
      <c r="AO142" s="4">
        <v>4.47</v>
      </c>
      <c r="AP142" s="4">
        <v>4.55</v>
      </c>
      <c r="AQ142" s="4">
        <v>4.3499999999999996</v>
      </c>
      <c r="AR142" s="4">
        <v>4.04</v>
      </c>
      <c r="AS142" s="4">
        <v>4.1399999999999997</v>
      </c>
      <c r="AT142" s="4">
        <v>4.0199999999999996</v>
      </c>
      <c r="AU142" s="4">
        <v>4.03</v>
      </c>
      <c r="AV142" s="4">
        <v>3.91</v>
      </c>
      <c r="AW142" s="4">
        <v>3.8</v>
      </c>
      <c r="AX142" s="4">
        <v>3.72</v>
      </c>
      <c r="AY142" s="12">
        <v>3.66</v>
      </c>
      <c r="AZ142" s="12">
        <v>3.82</v>
      </c>
      <c r="BA142" s="12">
        <v>3.77</v>
      </c>
      <c r="BB142" s="15">
        <v>4.0599999999999996</v>
      </c>
      <c r="BC142" s="52">
        <v>4.0199999999999996</v>
      </c>
      <c r="BD142" s="52">
        <v>3.98</v>
      </c>
      <c r="BE142" s="52">
        <v>3.8</v>
      </c>
      <c r="BF142" s="52">
        <v>3.85</v>
      </c>
      <c r="BG142" s="67">
        <v>3.85</v>
      </c>
      <c r="BH142" s="52">
        <v>3.63</v>
      </c>
      <c r="BI142" s="52">
        <v>3.68</v>
      </c>
      <c r="BJ142" s="52">
        <v>3.99</v>
      </c>
      <c r="BK142" s="52">
        <v>3.81</v>
      </c>
      <c r="BL142" s="52" cm="1">
        <f t="array" aca="1" ref="BL142" ca="1">_FV(EC142,"Preço")</f>
        <v>3.81</v>
      </c>
      <c r="BM142" s="69" t="s">
        <v>138</v>
      </c>
      <c r="BN142" s="36" cm="1">
        <f t="array" aca="1" ref="BN142" ca="1">_FV(EC142,"Média de volume",TRUE)</f>
        <v>1857820</v>
      </c>
      <c r="BO142" s="36">
        <v>160300</v>
      </c>
      <c r="BP142" s="36" cm="1">
        <f t="array" aca="1" ref="BP142" ca="1">_FV(EC142,"Volume")</f>
        <v>160300</v>
      </c>
      <c r="BQ142" s="24" cm="1">
        <f t="array" aca="1" ref="BQ142" ca="1">_FV(EC142,"Beta")</f>
        <v>0.35980000000000001</v>
      </c>
      <c r="BR142" s="71" cm="1">
        <f t="array" aca="1" ref="BR142" ca="1">_FV(EC142,"Variação (%)",TRUE)</f>
        <v>-1.039E-2</v>
      </c>
      <c r="BT142" s="17" cm="1">
        <f t="array" aca="1" ref="BT142" ca="1">_FV(EC142,"Baixo")</f>
        <v>3.77</v>
      </c>
      <c r="BU142" s="17" cm="1">
        <f t="array" aca="1" ref="BU142" ca="1">_FV(EC142,"Alto")</f>
        <v>3.85</v>
      </c>
      <c r="BV142" s="24"/>
      <c r="BW142" s="63">
        <f ca="1">SQRT(22.5*(BL142/VLOOKUP(BM142,Fundamentus!A:U,3,FALSE))*(BL142/VLOOKUP(BM142,Fundamentus!A:U,4,FALSE)))</f>
        <v>2.9975663596357509</v>
      </c>
      <c r="BY142" s="62">
        <f t="shared" ca="1" si="168"/>
        <v>0</v>
      </c>
      <c r="BZ142" s="8"/>
      <c r="CA142" s="61">
        <f t="shared" si="169"/>
        <v>3.63</v>
      </c>
      <c r="CB142" s="61">
        <f t="shared" si="170"/>
        <v>4.9000000000000004</v>
      </c>
      <c r="CC142" s="61">
        <f t="shared" si="171"/>
        <v>4.2173015873015869</v>
      </c>
      <c r="CD142" s="14"/>
      <c r="CE142" s="35">
        <f t="shared" si="154"/>
        <v>3.5826769665156823</v>
      </c>
      <c r="CF142" s="15">
        <f t="shared" si="172"/>
        <v>3.82000000000005</v>
      </c>
      <c r="CG142" s="35">
        <f t="shared" si="155"/>
        <v>4.0573230334844173</v>
      </c>
      <c r="CI142" s="14"/>
      <c r="CJ142" s="17">
        <f t="shared" si="156"/>
        <v>2.1766666666666667</v>
      </c>
      <c r="CK142" s="17">
        <f t="shared" si="157"/>
        <v>2.9033333333333333</v>
      </c>
      <c r="CL142" s="17">
        <f t="shared" si="158"/>
        <v>3.4466666666666672</v>
      </c>
      <c r="CM142" s="38">
        <f t="shared" si="173"/>
        <v>4.1733333333333338</v>
      </c>
      <c r="CN142" s="17">
        <f t="shared" si="159"/>
        <v>4.7166666666666677</v>
      </c>
      <c r="CO142" s="17">
        <f t="shared" si="160"/>
        <v>5.4433333333333342</v>
      </c>
      <c r="CP142" s="17">
        <f t="shared" si="161"/>
        <v>5.9866666666666681</v>
      </c>
      <c r="CQ142" s="2" cm="1">
        <f t="array" aca="1" ref="CQ142" ca="1">MAX(_xlfn._xlws.FILTER(CJ142:CP142,CJ142:CP142&lt;BL142))</f>
        <v>3.4466666666666672</v>
      </c>
      <c r="CR142" s="2" cm="1">
        <f t="array" aca="1" ref="CR142" ca="1">MIN(_xlfn._xlws.FILTER($CJ142:$CP142,$CJ142:$CP142&gt;BL142))</f>
        <v>4.1733333333333338</v>
      </c>
      <c r="CS142" s="16">
        <f t="shared" ca="1" si="136"/>
        <v>0.21083172147001927</v>
      </c>
      <c r="CT142" s="20">
        <f t="shared" ca="1" si="137"/>
        <v>-0.10541586073500964</v>
      </c>
      <c r="CU142" s="20">
        <f t="shared" ca="1" si="138"/>
        <v>-7.0277240490006429E-2</v>
      </c>
      <c r="CV142" s="20">
        <f t="shared" ca="1" si="139"/>
        <v>-4.2166344294003857E-2</v>
      </c>
      <c r="CW142" s="20">
        <f t="shared" ca="1" si="140"/>
        <v>-2.3425746830002141E-2</v>
      </c>
      <c r="CX142" s="20">
        <f t="shared" ca="1" si="141"/>
        <v>-1.2401865968824663E-2</v>
      </c>
      <c r="CY142" s="20">
        <f t="shared" ca="1" si="142"/>
        <v>-6.3888400445460385E-3</v>
      </c>
      <c r="CZ142" s="20">
        <f t="shared" ca="1" si="143"/>
        <v>-3.2435649456926041E-3</v>
      </c>
      <c r="DA142" s="21">
        <f t="shared" ca="1" si="144"/>
        <v>3.2435649456926041E-3</v>
      </c>
      <c r="DB142" s="21">
        <f t="shared" ca="1" si="145"/>
        <v>6.3888400445460385E-3</v>
      </c>
      <c r="DC142" s="21">
        <f t="shared" ca="1" si="146"/>
        <v>1.2401865968824663E-2</v>
      </c>
      <c r="DD142" s="21">
        <f t="shared" ca="1" si="147"/>
        <v>2.3425746830002141E-2</v>
      </c>
      <c r="DE142" s="21">
        <f t="shared" ca="1" si="148"/>
        <v>4.2166344294003857E-2</v>
      </c>
      <c r="DF142" s="21">
        <f t="shared" ca="1" si="149"/>
        <v>7.0277240490006429E-2</v>
      </c>
      <c r="DG142" s="21">
        <f t="shared" ca="1" si="150"/>
        <v>0.10541586073500964</v>
      </c>
      <c r="DI142" s="16" cm="1">
        <f t="array" aca="1" ref="DI142" ca="1">MAX(_xlfn._xlws.FILTER(CT142:DG142,CT142:DG142&lt;BR142))</f>
        <v>-1.2401865968824663E-2</v>
      </c>
      <c r="DJ142" s="16" cm="1">
        <f t="array" aca="1" ref="DJ142" ca="1">MIN(_xlfn._xlws.FILTER(CT142:DG142,CT142:DG142&gt;BR142))</f>
        <v>-6.3888400445460385E-3</v>
      </c>
      <c r="DK142" s="2" cm="1">
        <f t="array" aca="1" ref="DK142" ca="1">_FV(EC142,"Fechamento anterior",TRUE)</f>
        <v>3.85</v>
      </c>
      <c r="DL142" s="28">
        <f t="shared" ca="1" si="162"/>
        <v>0.33464941022280159</v>
      </c>
      <c r="DM142" s="15">
        <f t="shared" ca="1" si="151"/>
        <v>3.8022528160200251</v>
      </c>
      <c r="DN142" s="15">
        <f t="shared" ca="1" si="152"/>
        <v>3.825402965828498</v>
      </c>
      <c r="DO142" s="9"/>
      <c r="DP142" s="9"/>
      <c r="DQ142" s="9"/>
      <c r="DR142" s="89">
        <v>6.793445223171787E-3</v>
      </c>
      <c r="DS142" s="89">
        <v>6.4537493042491918E-3</v>
      </c>
      <c r="DT142" s="89">
        <v>6.0130259242786241E-3</v>
      </c>
      <c r="DU142" s="89">
        <v>6.0130259242786241E-3</v>
      </c>
      <c r="DV142" s="89">
        <f t="shared" ca="1" si="163"/>
        <v>6.0130259242786241E-3</v>
      </c>
      <c r="DW142" s="72">
        <f t="shared" ca="1" si="164"/>
        <v>-4.2136660117774297E-2</v>
      </c>
      <c r="DX142" s="37"/>
      <c r="DY142" s="35">
        <f t="shared" si="174"/>
        <v>0.11866151674218384</v>
      </c>
      <c r="DZ142" s="56"/>
      <c r="EA142" s="56"/>
      <c r="EC142" s="2" t="e" vm="142">
        <v>#VALUE!</v>
      </c>
      <c r="EE142" s="10" cm="1">
        <f t="array" aca="1" ref="EE142" ca="1">_FV(EC142,"Ações em circulação",TRUE)</f>
        <v>1235936000</v>
      </c>
      <c r="EF142" s="18">
        <f>VLOOKUP(BM142,Fundamentus!A:U,5,FALSE)</f>
        <v>1.1850000000000001</v>
      </c>
      <c r="EG142" s="2">
        <f t="shared" ca="1" si="165"/>
        <v>3973768911.392405</v>
      </c>
      <c r="EH142" s="17">
        <v>402542790.72405064</v>
      </c>
      <c r="EI142" s="17">
        <f t="shared" ca="1" si="166"/>
        <v>402542790.72405064</v>
      </c>
      <c r="EK142" s="16">
        <f t="shared" ca="1" si="153"/>
        <v>0</v>
      </c>
      <c r="EL142" s="32" t="str">
        <f>IF(VLOOKUP(BM142,Fundamentus!A:U,3,FALSE)&lt;15,"Bom",IF(VLOOKUP(BM142,Fundamentus!A:U,3,FALSE)&gt;15,"Ruim","n/a"))</f>
        <v>Bom</v>
      </c>
      <c r="EM142" s="28" t="str">
        <f>IF(VLOOKUP(BM142,Fundamentus!A:U,4,FALSE)&lt;1,"Baixo",IF(VLOOKUP(BM142,Fundamentus!A:U,4,FALSE)&lt;1.5,"Moderado",IF(VLOOKUP(BM142,Fundamentus!A:U,4,FALSE)&gt;1.5,"Alto","n/a")))</f>
        <v>Alto</v>
      </c>
      <c r="EN142" s="17" t="str">
        <f>IF(VLOOKUP(BM142,Fundamentus!A:U,8,FALSE)&lt;0,"Risco elevado",IF(VLOOKUP(BM142,Fundamentus!A:U,8,FALSE)&lt;1,"Saudável",IF(VLOOKUP(BM142,Fundamentus!A:U,8,FALSE)&lt;3,"Estável",IF(VLOOKUP(BM142,Fundamentus!A:U,8,FALSE)&gt;3,"Alerta","n/a"))))</f>
        <v>Alerta</v>
      </c>
      <c r="EO142" s="28" t="str">
        <f t="shared" si="167"/>
        <v>Bom</v>
      </c>
      <c r="EP142" s="17" t="str">
        <f>IF(VLOOKUP(BM142,Fundamentus!A:U,12,FALSE)&lt;2,"Subvalorizada",IF(VLOOKUP(BM142,Fundamentus!A:U,12,FALSE)&lt;6,"Muita barata",IF(VLOOKUP(BM142,Fundamentus!A:U,12,FALSE)&lt;6,"Barata",IF(VLOOKUP(BM142,Fundamentus!A:U,12,FALSE)&lt;8,"Atrativa",IF(VLOOKUP(BM142,Fundamentus!A:U,12,FALSE)&gt;8,"Supervalorizada","n/a")))))</f>
        <v>Muita barata</v>
      </c>
      <c r="ER142" s="17" t="str">
        <f>IF(VLOOKUP(BM142,Fundamentus!A:U,17,FALSE)&lt;0.1,"Fraco retorno",IF(VLOOKUP(BM142,Fundamentus!A:U,17,FALSE)&gt;0.1,"Bom retorno","n/a"))</f>
        <v>Bom retorno</v>
      </c>
      <c r="ES142" s="17" t="str">
        <f>IF(VLOOKUP(BM142,Fundamentus!A:U,16,FALSE)&lt;0.1,"Ineficiente",IF(VLOOKUP(BM142,Fundamentus!A:U,16,FALSE)&gt;0.1,"Eficiente","n/a"))</f>
        <v>Ineficiente</v>
      </c>
      <c r="ET142" s="33" t="str">
        <f>IF(VLOOKUP(BM142,Fundamentus!A:U,16,FALSE)&lt;0.1,"Oper. Ineficiente",IF(VLOOKUP(BM142,Fundamentus!A:U,16,FALSE)&gt;0.1,"Oper.Eficiente","n/a"))</f>
        <v>Oper. Ineficiente</v>
      </c>
      <c r="EU142" s="34">
        <f>VLOOKUP(BM142,Fundamentus!A:U,14,FALSE)</f>
        <v>0.1013</v>
      </c>
      <c r="EV142" s="17" t="str">
        <f>IF(VLOOKUP(BM142,Fundamentus!A:U,21,FALSE)&lt;0,"Negativo",IF(VLOOKUP(BM142,Fundamentus!A:U,21,FALSE)&lt;0.05,"Fraco",IF(VLOOKUP(BM142,Fundamentus!A:U,21,FALSE)&lt;0.1,"Bom",IF(VLOOKUP(BM142,Fundamentus!A:U,21,FALSE)&gt;0.1,"Muito bom","n/a"))))</f>
        <v>Bom</v>
      </c>
      <c r="EX142" s="29" t="str">
        <f>IF(VLOOKUP(BM142,Fundamentus!A:U,15,FALSE)&gt;1,"Bom",IF(VLOOKUP(BM142,Fundamentus!A:U,15,FALSE)&lt;1,"Ruim","n/a"))</f>
        <v>Bom</v>
      </c>
      <c r="EY142" s="17" t="str">
        <f>IF(VLOOKUP(BM142,Fundamentus!A:U,20,FALSE)&lt;0.5,"Baixa",IF(VLOOKUP(BM142,Fundamentus!A:U,20,FALSE)&lt;1,"Moderada",IF(VLOOKUP(BM142,Fundamentus!A:U,20,FALSE)&lt;2,"Alerta",IF(VLOOKUP(BM142,Fundamentus!A:U,20,FALSE)&gt;2,"Alta","n/a"))))</f>
        <v>Alta</v>
      </c>
      <c r="EZ142" s="10"/>
    </row>
    <row r="143" spans="1:156" s="2" customFormat="1" ht="11.25" x14ac:dyDescent="0.2">
      <c r="A143" s="4">
        <v>7.59</v>
      </c>
      <c r="B143" s="4">
        <v>7.91</v>
      </c>
      <c r="C143" s="4">
        <v>8.09</v>
      </c>
      <c r="D143" s="4">
        <v>7.46</v>
      </c>
      <c r="E143" s="4">
        <v>7.8</v>
      </c>
      <c r="F143" s="4">
        <v>7.77</v>
      </c>
      <c r="G143" s="4">
        <v>7.26</v>
      </c>
      <c r="H143" s="4">
        <v>7.15</v>
      </c>
      <c r="I143" s="4">
        <v>6.95</v>
      </c>
      <c r="J143" s="4">
        <v>7.32</v>
      </c>
      <c r="K143" s="4">
        <v>7.29</v>
      </c>
      <c r="L143" s="4">
        <v>7.12</v>
      </c>
      <c r="M143" s="4">
        <v>6.91</v>
      </c>
      <c r="N143" s="4">
        <v>6.99</v>
      </c>
      <c r="O143" s="4">
        <v>7.94</v>
      </c>
      <c r="P143" s="4">
        <v>7.86</v>
      </c>
      <c r="Q143" s="4">
        <v>8.01</v>
      </c>
      <c r="R143" s="4">
        <v>7.88</v>
      </c>
      <c r="S143" s="4">
        <v>8.08</v>
      </c>
      <c r="T143" s="4">
        <v>7.47</v>
      </c>
      <c r="U143" s="4">
        <v>7.16</v>
      </c>
      <c r="V143" s="4">
        <v>7.51</v>
      </c>
      <c r="W143" s="4">
        <v>7.35</v>
      </c>
      <c r="X143" s="4">
        <v>7.28</v>
      </c>
      <c r="Y143" s="4">
        <v>7.21</v>
      </c>
      <c r="Z143" s="4">
        <v>7.28</v>
      </c>
      <c r="AA143" s="4">
        <v>7.46</v>
      </c>
      <c r="AB143" s="4">
        <v>7.37</v>
      </c>
      <c r="AC143" s="4">
        <v>7.24</v>
      </c>
      <c r="AD143" s="4">
        <v>7.25</v>
      </c>
      <c r="AE143" s="4">
        <v>6.98</v>
      </c>
      <c r="AF143" s="4">
        <v>7.12</v>
      </c>
      <c r="AG143" s="4">
        <v>6.82</v>
      </c>
      <c r="AH143" s="4">
        <v>6.95</v>
      </c>
      <c r="AI143" s="4">
        <v>6.5</v>
      </c>
      <c r="AJ143" s="4">
        <v>5.96</v>
      </c>
      <c r="AK143" s="4">
        <v>5.97</v>
      </c>
      <c r="AL143" s="4">
        <v>6.26</v>
      </c>
      <c r="AM143" s="4">
        <v>6.3</v>
      </c>
      <c r="AN143" s="4">
        <v>6.68</v>
      </c>
      <c r="AO143" s="4">
        <v>6.61</v>
      </c>
      <c r="AP143" s="4">
        <v>7.12</v>
      </c>
      <c r="AQ143" s="4">
        <v>6.94</v>
      </c>
      <c r="AR143" s="4">
        <v>6.38</v>
      </c>
      <c r="AS143" s="4">
        <v>6.31</v>
      </c>
      <c r="AT143" s="4">
        <v>6.45</v>
      </c>
      <c r="AU143" s="4">
        <v>6.7249999999999996</v>
      </c>
      <c r="AV143" s="4">
        <v>6.99</v>
      </c>
      <c r="AW143" s="4">
        <v>7.04</v>
      </c>
      <c r="AX143" s="4">
        <v>7.57</v>
      </c>
      <c r="AY143" s="12">
        <v>7.47</v>
      </c>
      <c r="AZ143" s="12">
        <v>7.6</v>
      </c>
      <c r="BA143" s="12">
        <v>7.7</v>
      </c>
      <c r="BB143" s="15">
        <v>7.67</v>
      </c>
      <c r="BC143" s="52">
        <v>7.72</v>
      </c>
      <c r="BD143" s="52">
        <v>7.76</v>
      </c>
      <c r="BE143" s="52">
        <v>7.99</v>
      </c>
      <c r="BF143" s="52">
        <v>7.82</v>
      </c>
      <c r="BG143" s="67">
        <v>7.78</v>
      </c>
      <c r="BH143" s="52">
        <v>7.73</v>
      </c>
      <c r="BI143" s="52">
        <v>7.9</v>
      </c>
      <c r="BJ143" s="52">
        <v>8.08</v>
      </c>
      <c r="BK143" s="52">
        <v>7.95</v>
      </c>
      <c r="BL143" s="52" cm="1">
        <f t="array" aca="1" ref="BL143" ca="1">_FV(EC143,"Preço")</f>
        <v>7.95</v>
      </c>
      <c r="BM143" s="69" t="s">
        <v>139</v>
      </c>
      <c r="BN143" s="36" cm="1">
        <f t="array" aca="1" ref="BN143" ca="1">_FV(EC143,"Média de volume",TRUE)</f>
        <v>3567580</v>
      </c>
      <c r="BO143" s="36">
        <v>2025700</v>
      </c>
      <c r="BP143" s="36" cm="1">
        <f t="array" aca="1" ref="BP143" ca="1">_FV(EC143,"Volume")</f>
        <v>2025700</v>
      </c>
      <c r="BQ143" s="24" cm="1">
        <f t="array" aca="1" ref="BQ143" ca="1">_FV(EC143,"Beta")</f>
        <v>1.2975000000000001</v>
      </c>
      <c r="BR143" s="71" cm="1">
        <f t="array" aca="1" ref="BR143" ca="1">_FV(EC143,"Variação (%)",TRUE)</f>
        <v>-7.4910000000000003E-3</v>
      </c>
      <c r="BT143" s="17" cm="1">
        <f t="array" aca="1" ref="BT143" ca="1">_FV(EC143,"Baixo")</f>
        <v>7.91</v>
      </c>
      <c r="BU143" s="17" cm="1">
        <f t="array" aca="1" ref="BU143" ca="1">_FV(EC143,"Alto")</f>
        <v>8.06</v>
      </c>
      <c r="BV143" s="24"/>
      <c r="BW143" s="63">
        <f ca="1">SQRT(22.5*(BL143/VLOOKUP(BM143,Fundamentus!A:U,3,FALSE))*(BL143/VLOOKUP(BM143,Fundamentus!A:U,4,FALSE)))</f>
        <v>8.0499020342765082</v>
      </c>
      <c r="BY143" s="62">
        <f t="shared" ca="1" si="168"/>
        <v>0</v>
      </c>
      <c r="BZ143" s="8"/>
      <c r="CA143" s="61">
        <f t="shared" si="169"/>
        <v>5.96</v>
      </c>
      <c r="CB143" s="61">
        <f t="shared" si="170"/>
        <v>8.09</v>
      </c>
      <c r="CC143" s="61">
        <f t="shared" si="171"/>
        <v>7.2826190476190495</v>
      </c>
      <c r="CD143" s="14"/>
      <c r="CE143" s="35">
        <f t="shared" si="154"/>
        <v>7.724143344045574</v>
      </c>
      <c r="CF143" s="15">
        <f t="shared" si="172"/>
        <v>7.9569999999998799</v>
      </c>
      <c r="CG143" s="35">
        <f t="shared" si="155"/>
        <v>8.1898566559541859</v>
      </c>
      <c r="CI143" s="14"/>
      <c r="CJ143" s="17">
        <f t="shared" si="156"/>
        <v>4.5333333333333359</v>
      </c>
      <c r="CK143" s="17">
        <f t="shared" si="157"/>
        <v>5.2466666666666679</v>
      </c>
      <c r="CL143" s="17">
        <f t="shared" si="158"/>
        <v>6.6633333333333358</v>
      </c>
      <c r="CM143" s="38">
        <f t="shared" si="173"/>
        <v>7.3766666666666678</v>
      </c>
      <c r="CN143" s="17">
        <f t="shared" si="159"/>
        <v>8.7933333333333366</v>
      </c>
      <c r="CO143" s="17">
        <f t="shared" si="160"/>
        <v>9.5066666666666677</v>
      </c>
      <c r="CP143" s="17">
        <f t="shared" si="161"/>
        <v>10.923333333333336</v>
      </c>
      <c r="CQ143" s="2" cm="1">
        <f t="array" aca="1" ref="CQ143" ca="1">MAX(_xlfn._xlws.FILTER(CJ143:CP143,CJ143:CP143&lt;BL143))</f>
        <v>7.3766666666666678</v>
      </c>
      <c r="CR143" s="2" cm="1">
        <f t="array" aca="1" ref="CR143" ca="1">MIN(_xlfn._xlws.FILTER($CJ143:$CP143,$CJ143:$CP143&gt;BL143))</f>
        <v>8.7933333333333366</v>
      </c>
      <c r="CS143" s="16">
        <f t="shared" ca="1" si="136"/>
        <v>0.19204699502937217</v>
      </c>
      <c r="CT143" s="20">
        <f t="shared" ca="1" si="137"/>
        <v>-9.6023497514686085E-2</v>
      </c>
      <c r="CU143" s="20">
        <f t="shared" ca="1" si="138"/>
        <v>-6.4015665009790723E-2</v>
      </c>
      <c r="CV143" s="20">
        <f t="shared" ca="1" si="139"/>
        <v>-3.8409399005874437E-2</v>
      </c>
      <c r="CW143" s="20">
        <f t="shared" ca="1" si="140"/>
        <v>-2.1338555003263576E-2</v>
      </c>
      <c r="CX143" s="20">
        <f t="shared" ca="1" si="141"/>
        <v>-1.1296882060551305E-2</v>
      </c>
      <c r="CY143" s="20">
        <f t="shared" ca="1" si="142"/>
        <v>-5.8196059099809745E-3</v>
      </c>
      <c r="CZ143" s="20">
        <f t="shared" ca="1" si="143"/>
        <v>-2.9545691542980333E-3</v>
      </c>
      <c r="DA143" s="21">
        <f t="shared" ca="1" si="144"/>
        <v>2.9545691542980333E-3</v>
      </c>
      <c r="DB143" s="21">
        <f t="shared" ca="1" si="145"/>
        <v>5.8196059099809745E-3</v>
      </c>
      <c r="DC143" s="21">
        <f t="shared" ca="1" si="146"/>
        <v>1.1296882060551305E-2</v>
      </c>
      <c r="DD143" s="21">
        <f t="shared" ca="1" si="147"/>
        <v>2.1338555003263576E-2</v>
      </c>
      <c r="DE143" s="21">
        <f t="shared" ca="1" si="148"/>
        <v>3.8409399005874437E-2</v>
      </c>
      <c r="DF143" s="21">
        <f t="shared" ca="1" si="149"/>
        <v>6.4015665009790723E-2</v>
      </c>
      <c r="DG143" s="21">
        <f t="shared" ca="1" si="150"/>
        <v>9.6023497514686085E-2</v>
      </c>
      <c r="DI143" s="16" cm="1">
        <f t="array" aca="1" ref="DI143" ca="1">MAX(_xlfn._xlws.FILTER(CT143:DG143,CT143:DG143&lt;BR143))</f>
        <v>-1.1296882060551305E-2</v>
      </c>
      <c r="DJ143" s="16" cm="1">
        <f t="array" aca="1" ref="DJ143" ca="1">MIN(_xlfn._xlws.FILTER(CT143:DG143,CT143:DG143&gt;BR143))</f>
        <v>-5.8196059099809745E-3</v>
      </c>
      <c r="DK143" s="2" cm="1">
        <f t="array" aca="1" ref="DK143" ca="1">_FV(EC143,"Fechamento anterior",TRUE)</f>
        <v>8.01</v>
      </c>
      <c r="DL143" s="28">
        <f t="shared" ca="1" si="162"/>
        <v>0.69491573033708676</v>
      </c>
      <c r="DM143" s="15">
        <f t="shared" ca="1" si="151"/>
        <v>7.9195119746949842</v>
      </c>
      <c r="DN143" s="15">
        <f t="shared" ca="1" si="152"/>
        <v>7.9633849566610522</v>
      </c>
      <c r="DO143" s="9"/>
      <c r="DP143" s="9"/>
      <c r="DQ143" s="9"/>
      <c r="DR143" s="89">
        <v>2.5921090616099884E-3</v>
      </c>
      <c r="DS143" s="89">
        <v>1.6083880490660146E-2</v>
      </c>
      <c r="DT143" s="89">
        <v>2.8650367556829412E-3</v>
      </c>
      <c r="DU143" s="89">
        <v>5.4772761505703302E-3</v>
      </c>
      <c r="DV143" s="89">
        <f t="shared" ca="1" si="163"/>
        <v>5.4772761505703302E-3</v>
      </c>
      <c r="DW143" s="72">
        <f t="shared" ca="1" si="164"/>
        <v>-3.0061412550961814E-2</v>
      </c>
      <c r="DX143" s="37"/>
      <c r="DY143" s="35">
        <f t="shared" si="174"/>
        <v>0.11642832797715311</v>
      </c>
      <c r="DZ143" s="56"/>
      <c r="EA143" s="56"/>
      <c r="EC143" s="2" t="e" vm="143">
        <v>#VALUE!</v>
      </c>
      <c r="EE143" s="10" cm="1">
        <f t="array" aca="1" ref="EE143" ca="1">_FV(EC143,"Ações em circulação",TRUE)</f>
        <v>2248470000</v>
      </c>
      <c r="EF143" s="18">
        <f>VLOOKUP(BM143,Fundamentus!A:U,5,FALSE)</f>
        <v>0.53</v>
      </c>
      <c r="EG143" s="2">
        <f t="shared" ca="1" si="165"/>
        <v>33727050000</v>
      </c>
      <c r="EH143" s="17">
        <v>1443517740</v>
      </c>
      <c r="EI143" s="17">
        <f t="shared" ca="1" si="166"/>
        <v>1443517740</v>
      </c>
      <c r="EK143" s="16">
        <f t="shared" ca="1" si="153"/>
        <v>0</v>
      </c>
      <c r="EL143" s="32" t="str">
        <f>IF(VLOOKUP(BM143,Fundamentus!A:U,3,FALSE)&lt;15,"Bom",IF(VLOOKUP(BM143,Fundamentus!A:U,3,FALSE)&gt;15,"Ruim","n/a"))</f>
        <v>Bom</v>
      </c>
      <c r="EM143" s="28" t="str">
        <f>IF(VLOOKUP(BM143,Fundamentus!A:U,4,FALSE)&lt;1,"Baixo",IF(VLOOKUP(BM143,Fundamentus!A:U,4,FALSE)&lt;1.5,"Moderado",IF(VLOOKUP(BM143,Fundamentus!A:U,4,FALSE)&gt;1.5,"Alto","n/a")))</f>
        <v>Alto</v>
      </c>
      <c r="EN143" s="17" t="str">
        <f>IF(VLOOKUP(BM143,Fundamentus!A:U,8,FALSE)&lt;0,"Risco elevado",IF(VLOOKUP(BM143,Fundamentus!A:U,8,FALSE)&lt;1,"Saudável",IF(VLOOKUP(BM143,Fundamentus!A:U,8,FALSE)&lt;3,"Estável",IF(VLOOKUP(BM143,Fundamentus!A:U,8,FALSE)&gt;3,"Alerta","n/a"))))</f>
        <v>Estável</v>
      </c>
      <c r="EO143" s="28" t="str">
        <f t="shared" si="167"/>
        <v>Ruim</v>
      </c>
      <c r="EP143" s="17" t="str">
        <f>IF(VLOOKUP(BM143,Fundamentus!A:U,12,FALSE)&lt;2,"Subvalorizada",IF(VLOOKUP(BM143,Fundamentus!A:U,12,FALSE)&lt;6,"Muita barata",IF(VLOOKUP(BM143,Fundamentus!A:U,12,FALSE)&lt;6,"Barata",IF(VLOOKUP(BM143,Fundamentus!A:U,12,FALSE)&lt;8,"Atrativa",IF(VLOOKUP(BM143,Fundamentus!A:U,12,FALSE)&gt;8,"Supervalorizada","n/a")))))</f>
        <v>Atrativa</v>
      </c>
      <c r="ER143" s="17" t="str">
        <f>IF(VLOOKUP(BM143,Fundamentus!A:U,17,FALSE)&lt;0.1,"Fraco retorno",IF(VLOOKUP(BM143,Fundamentus!A:U,17,FALSE)&gt;0.1,"Bom retorno","n/a"))</f>
        <v>Bom retorno</v>
      </c>
      <c r="ES143" s="17" t="str">
        <f>IF(VLOOKUP(BM143,Fundamentus!A:U,16,FALSE)&lt;0.1,"Ineficiente",IF(VLOOKUP(BM143,Fundamentus!A:U,16,FALSE)&gt;0.1,"Eficiente","n/a"))</f>
        <v>Eficiente</v>
      </c>
      <c r="ET143" s="33" t="str">
        <f>IF(VLOOKUP(BM143,Fundamentus!A:U,16,FALSE)&lt;0.1,"Oper. Ineficiente",IF(VLOOKUP(BM143,Fundamentus!A:U,16,FALSE)&gt;0.1,"Oper.Eficiente","n/a"))</f>
        <v>Oper.Eficiente</v>
      </c>
      <c r="EU143" s="34">
        <f>VLOOKUP(BM143,Fundamentus!A:U,14,FALSE)</f>
        <v>4.2799999999999998E-2</v>
      </c>
      <c r="EV143" s="17" t="str">
        <f>IF(VLOOKUP(BM143,Fundamentus!A:U,21,FALSE)&lt;0,"Negativo",IF(VLOOKUP(BM143,Fundamentus!A:U,21,FALSE)&lt;0.05,"Fraco",IF(VLOOKUP(BM143,Fundamentus!A:U,21,FALSE)&lt;0.1,"Bom",IF(VLOOKUP(BM143,Fundamentus!A:U,21,FALSE)&gt;0.1,"Muito bom","n/a"))))</f>
        <v>Muito bom</v>
      </c>
      <c r="EX143" s="29" t="str">
        <f>IF(VLOOKUP(BM143,Fundamentus!A:U,15,FALSE)&gt;1,"Bom",IF(VLOOKUP(BM143,Fundamentus!A:U,15,FALSE)&lt;1,"Ruim","n/a"))</f>
        <v>Bom</v>
      </c>
      <c r="EY143" s="17" t="str">
        <f>IF(VLOOKUP(BM143,Fundamentus!A:U,20,FALSE)&lt;0.5,"Baixa",IF(VLOOKUP(BM143,Fundamentus!A:U,20,FALSE)&lt;1,"Moderada",IF(VLOOKUP(BM143,Fundamentus!A:U,20,FALSE)&lt;2,"Alerta",IF(VLOOKUP(BM143,Fundamentus!A:U,20,FALSE)&gt;2,"Alta","n/a"))))</f>
        <v>Baixa</v>
      </c>
      <c r="EZ143" s="10"/>
    </row>
    <row r="144" spans="1:156" s="2" customFormat="1" ht="11.25" x14ac:dyDescent="0.2">
      <c r="A144" s="4">
        <v>18.61</v>
      </c>
      <c r="B144" s="4">
        <v>16.88</v>
      </c>
      <c r="C144" s="4">
        <v>17.28</v>
      </c>
      <c r="D144" s="4">
        <v>16.43</v>
      </c>
      <c r="E144" s="4">
        <v>15.86</v>
      </c>
      <c r="F144" s="4">
        <v>16.07</v>
      </c>
      <c r="G144" s="4">
        <v>15.87</v>
      </c>
      <c r="H144" s="4">
        <v>15.78</v>
      </c>
      <c r="I144" s="4">
        <v>15.8</v>
      </c>
      <c r="J144" s="4">
        <v>15.72</v>
      </c>
      <c r="K144" s="4">
        <v>16.95</v>
      </c>
      <c r="L144" s="4">
        <v>16.77</v>
      </c>
      <c r="M144" s="4">
        <v>16.28</v>
      </c>
      <c r="N144" s="4">
        <v>17.68</v>
      </c>
      <c r="O144" s="4">
        <v>17.62</v>
      </c>
      <c r="P144" s="4">
        <v>18.239999999999998</v>
      </c>
      <c r="Q144" s="4">
        <v>18.14</v>
      </c>
      <c r="R144" s="4">
        <v>17.86</v>
      </c>
      <c r="S144" s="4">
        <v>18.41</v>
      </c>
      <c r="T144" s="4">
        <v>18.399999999999999</v>
      </c>
      <c r="U144" s="4">
        <v>18.73</v>
      </c>
      <c r="V144" s="4">
        <v>18.71</v>
      </c>
      <c r="W144" s="4">
        <v>17.75</v>
      </c>
      <c r="X144" s="4">
        <v>16.98</v>
      </c>
      <c r="Y144" s="4">
        <v>17.11</v>
      </c>
      <c r="Z144" s="4">
        <v>16.95</v>
      </c>
      <c r="AA144" s="4">
        <v>16.52</v>
      </c>
      <c r="AB144" s="4">
        <v>15.91</v>
      </c>
      <c r="AC144" s="4">
        <v>16.48</v>
      </c>
      <c r="AD144" s="4">
        <v>16.21</v>
      </c>
      <c r="AE144" s="4">
        <v>15.84</v>
      </c>
      <c r="AF144" s="4">
        <v>16.11</v>
      </c>
      <c r="AG144" s="4">
        <v>15.27</v>
      </c>
      <c r="AH144" s="4">
        <v>14.9</v>
      </c>
      <c r="AI144" s="4">
        <v>14.4</v>
      </c>
      <c r="AJ144" s="4">
        <v>14.42</v>
      </c>
      <c r="AK144" s="4">
        <v>13.82</v>
      </c>
      <c r="AL144" s="4">
        <v>14.81</v>
      </c>
      <c r="AM144" s="4">
        <v>15.08</v>
      </c>
      <c r="AN144" s="4">
        <v>15.61</v>
      </c>
      <c r="AO144" s="4">
        <v>15.64</v>
      </c>
      <c r="AP144" s="4">
        <v>17.53</v>
      </c>
      <c r="AQ144" s="4">
        <v>17.190000000000001</v>
      </c>
      <c r="AR144" s="4">
        <v>16.170000000000002</v>
      </c>
      <c r="AS144" s="4">
        <v>16.8</v>
      </c>
      <c r="AT144" s="4">
        <v>17.309999999999999</v>
      </c>
      <c r="AU144" s="4">
        <v>17.215</v>
      </c>
      <c r="AV144" s="4">
        <v>17.77</v>
      </c>
      <c r="AW144" s="4">
        <v>16.899999999999999</v>
      </c>
      <c r="AX144" s="4">
        <v>17.27</v>
      </c>
      <c r="AY144" s="12">
        <v>17.84</v>
      </c>
      <c r="AZ144" s="12">
        <v>18.61</v>
      </c>
      <c r="BA144" s="12">
        <v>18.95</v>
      </c>
      <c r="BB144" s="15">
        <v>19.57</v>
      </c>
      <c r="BC144" s="52">
        <v>19.82</v>
      </c>
      <c r="BD144" s="52">
        <v>19.3</v>
      </c>
      <c r="BE144" s="52">
        <v>19.489999999999998</v>
      </c>
      <c r="BF144" s="52">
        <v>20.149999999999999</v>
      </c>
      <c r="BG144" s="67">
        <v>20.56</v>
      </c>
      <c r="BH144" s="52">
        <v>21.52</v>
      </c>
      <c r="BI144" s="52">
        <v>21.33</v>
      </c>
      <c r="BJ144" s="52">
        <v>22.46</v>
      </c>
      <c r="BK144" s="52">
        <v>21.16</v>
      </c>
      <c r="BL144" s="52" cm="1">
        <f t="array" aca="1" ref="BL144" ca="1">_FV(EC144,"Preço")</f>
        <v>21.16</v>
      </c>
      <c r="BM144" s="69" t="s">
        <v>140</v>
      </c>
      <c r="BN144" s="36" cm="1">
        <f t="array" aca="1" ref="BN144" ca="1">_FV(EC144,"Média de volume",TRUE)</f>
        <v>5407280</v>
      </c>
      <c r="BO144" s="36">
        <v>7217200</v>
      </c>
      <c r="BP144" s="36" cm="1">
        <f t="array" aca="1" ref="BP144" ca="1">_FV(EC144,"Volume")</f>
        <v>7217200</v>
      </c>
      <c r="BQ144" s="24" cm="1">
        <f t="array" aca="1" ref="BQ144" ca="1">_FV(EC144,"Beta")</f>
        <v>0.68049999999999999</v>
      </c>
      <c r="BR144" s="71" cm="1">
        <f t="array" aca="1" ref="BR144" ca="1">_FV(EC144,"Variação (%)",TRUE)</f>
        <v>-1.7184999999999999E-2</v>
      </c>
      <c r="BT144" s="17" cm="1">
        <f t="array" aca="1" ref="BT144" ca="1">_FV(EC144,"Baixo")</f>
        <v>20.99</v>
      </c>
      <c r="BU144" s="17" cm="1">
        <f t="array" aca="1" ref="BU144" ca="1">_FV(EC144,"Alto")</f>
        <v>21.78</v>
      </c>
      <c r="BV144" s="24"/>
      <c r="BW144" s="63" t="e">
        <f ca="1">SQRT(22.5*(BL144/VLOOKUP(BM144,Fundamentus!A:U,3,FALSE))*(BL144/VLOOKUP(BM144,Fundamentus!A:U,4,FALSE)))</f>
        <v>#DIV/0!</v>
      </c>
      <c r="BY144" s="62">
        <f t="shared" ca="1" si="168"/>
        <v>0</v>
      </c>
      <c r="BZ144" s="8"/>
      <c r="CA144" s="61">
        <f t="shared" si="169"/>
        <v>13.82</v>
      </c>
      <c r="CB144" s="61">
        <f t="shared" si="170"/>
        <v>22.46</v>
      </c>
      <c r="CC144" s="61">
        <f t="shared" si="171"/>
        <v>17.346269841269841</v>
      </c>
      <c r="CD144" s="14"/>
      <c r="CE144" s="35">
        <f t="shared" si="154"/>
        <v>20.154727935766804</v>
      </c>
      <c r="CF144" s="15">
        <f t="shared" si="172"/>
        <v>21.620000000000005</v>
      </c>
      <c r="CG144" s="35">
        <f t="shared" si="155"/>
        <v>23.085272064233205</v>
      </c>
      <c r="CI144" s="14"/>
      <c r="CJ144" s="17">
        <f t="shared" si="156"/>
        <v>8.0600000000000023</v>
      </c>
      <c r="CK144" s="17">
        <f t="shared" si="157"/>
        <v>10.940000000000001</v>
      </c>
      <c r="CL144" s="17">
        <f t="shared" si="158"/>
        <v>16.700000000000003</v>
      </c>
      <c r="CM144" s="38">
        <f t="shared" si="173"/>
        <v>19.580000000000002</v>
      </c>
      <c r="CN144" s="17">
        <f t="shared" si="159"/>
        <v>25.340000000000003</v>
      </c>
      <c r="CO144" s="17">
        <f t="shared" si="160"/>
        <v>28.220000000000002</v>
      </c>
      <c r="CP144" s="17">
        <f t="shared" si="161"/>
        <v>33.980000000000004</v>
      </c>
      <c r="CQ144" s="2" cm="1">
        <f t="array" aca="1" ref="CQ144" ca="1">MAX(_xlfn._xlws.FILTER(CJ144:CP144,CJ144:CP144&lt;BL144))</f>
        <v>19.580000000000002</v>
      </c>
      <c r="CR144" s="2" cm="1">
        <f t="array" aca="1" ref="CR144" ca="1">MIN(_xlfn._xlws.FILTER($CJ144:$CP144,$CJ144:$CP144&gt;BL144))</f>
        <v>25.340000000000003</v>
      </c>
      <c r="CS144" s="16">
        <f t="shared" ca="1" si="136"/>
        <v>0.29417773237997968</v>
      </c>
      <c r="CT144" s="20">
        <f t="shared" ca="1" si="137"/>
        <v>-0.14708886618998984</v>
      </c>
      <c r="CU144" s="20">
        <f t="shared" ca="1" si="138"/>
        <v>-9.8059244126659895E-2</v>
      </c>
      <c r="CV144" s="20">
        <f t="shared" ca="1" si="139"/>
        <v>-5.883554647599594E-2</v>
      </c>
      <c r="CW144" s="20">
        <f t="shared" ca="1" si="140"/>
        <v>-3.2686414708886634E-2</v>
      </c>
      <c r="CX144" s="20">
        <f t="shared" ca="1" si="141"/>
        <v>-1.7304572492939981E-2</v>
      </c>
      <c r="CY144" s="20">
        <f t="shared" ca="1" si="142"/>
        <v>-8.9144767387872633E-3</v>
      </c>
      <c r="CZ144" s="20">
        <f t="shared" ca="1" si="143"/>
        <v>-4.5258112673843024E-3</v>
      </c>
      <c r="DA144" s="21">
        <f t="shared" ca="1" si="144"/>
        <v>4.5258112673843024E-3</v>
      </c>
      <c r="DB144" s="21">
        <f t="shared" ca="1" si="145"/>
        <v>8.9144767387872633E-3</v>
      </c>
      <c r="DC144" s="21">
        <f t="shared" ca="1" si="146"/>
        <v>1.7304572492939981E-2</v>
      </c>
      <c r="DD144" s="21">
        <f t="shared" ca="1" si="147"/>
        <v>3.2686414708886634E-2</v>
      </c>
      <c r="DE144" s="21">
        <f t="shared" ca="1" si="148"/>
        <v>5.883554647599594E-2</v>
      </c>
      <c r="DF144" s="21">
        <f t="shared" ca="1" si="149"/>
        <v>9.8059244126659895E-2</v>
      </c>
      <c r="DG144" s="21">
        <f t="shared" ca="1" si="150"/>
        <v>0.14708886618998984</v>
      </c>
      <c r="DI144" s="16" cm="1">
        <f t="array" aca="1" ref="DI144" ca="1">MAX(_xlfn._xlws.FILTER(CT144:DG144,CT144:DG144&lt;BR144))</f>
        <v>-1.7304572492939981E-2</v>
      </c>
      <c r="DJ144" s="16" cm="1">
        <f t="array" aca="1" ref="DJ144" ca="1">MIN(_xlfn._xlws.FILTER(CT144:DG144,CT144:DG144&gt;BR144))</f>
        <v>-8.9144767387872633E-3</v>
      </c>
      <c r="DK144" s="2" cm="1">
        <f t="array" aca="1" ref="DK144" ca="1">_FV(EC144,"Fechamento anterior",TRUE)</f>
        <v>21.53</v>
      </c>
      <c r="DL144" s="28">
        <f t="shared" ca="1" si="162"/>
        <v>1.4213149771628757E-2</v>
      </c>
      <c r="DM144" s="15">
        <f t="shared" ca="1" si="151"/>
        <v>21.157432554227004</v>
      </c>
      <c r="DN144" s="15">
        <f t="shared" ca="1" si="152"/>
        <v>21.338071315813913</v>
      </c>
      <c r="DO144" s="9"/>
      <c r="DP144" s="9"/>
      <c r="DQ144" s="9"/>
      <c r="DR144" s="89">
        <v>3.1550546575270801E-3</v>
      </c>
      <c r="DS144" s="89">
        <v>1.2829206430782478E-2</v>
      </c>
      <c r="DT144" s="89">
        <v>4.3886654714029609E-3</v>
      </c>
      <c r="DU144" s="89">
        <v>8.3900957541527179E-3</v>
      </c>
      <c r="DV144" s="89">
        <f t="shared" ca="1" si="163"/>
        <v>8.3900957541527179E-3</v>
      </c>
      <c r="DW144" s="72">
        <f t="shared" ca="1" si="164"/>
        <v>-0.31393487341255594</v>
      </c>
      <c r="DX144" s="37"/>
      <c r="DY144" s="35">
        <f t="shared" si="174"/>
        <v>0.73263603211660044</v>
      </c>
      <c r="DZ144" s="56"/>
      <c r="EA144" s="56"/>
      <c r="EC144" s="2" t="e" vm="144">
        <v>#VALUE!</v>
      </c>
      <c r="EE144" s="10" cm="1">
        <f t="array" aca="1" ref="EE144" ca="1">_FV(EC144,"Ações em circulação",TRUE)</f>
        <v>2420804000</v>
      </c>
      <c r="EF144" s="18">
        <f>VLOOKUP(BM144,Fundamentus!A:U,5,FALSE)</f>
        <v>-8.1649999999999991</v>
      </c>
      <c r="EG144" s="2">
        <f t="shared" ca="1" si="165"/>
        <v>-6273632901.4084511</v>
      </c>
      <c r="EH144" s="17">
        <v>-534513523.20000005</v>
      </c>
      <c r="EI144" s="17">
        <f t="shared" ca="1" si="166"/>
        <v>-534513523.20000005</v>
      </c>
      <c r="EK144" s="16">
        <f t="shared" ca="1" si="153"/>
        <v>0</v>
      </c>
      <c r="EL144" s="32" t="str">
        <f>IF(VLOOKUP(BM144,Fundamentus!A:U,3,FALSE)&lt;15,"Bom",IF(VLOOKUP(BM144,Fundamentus!A:U,3,FALSE)&gt;15,"Ruim","n/a"))</f>
        <v>Bom</v>
      </c>
      <c r="EM144" s="28" t="str">
        <f>IF(VLOOKUP(BM144,Fundamentus!A:U,4,FALSE)&lt;1,"Baixo",IF(VLOOKUP(BM144,Fundamentus!A:U,4,FALSE)&lt;1.5,"Moderado",IF(VLOOKUP(BM144,Fundamentus!A:U,4,FALSE)&gt;1.5,"Alto","n/a")))</f>
        <v>Baixo</v>
      </c>
      <c r="EN144" s="17" t="str">
        <f>IF(VLOOKUP(BM144,Fundamentus!A:U,8,FALSE)&lt;0,"Risco elevado",IF(VLOOKUP(BM144,Fundamentus!A:U,8,FALSE)&lt;1,"Saudável",IF(VLOOKUP(BM144,Fundamentus!A:U,8,FALSE)&lt;3,"Estável",IF(VLOOKUP(BM144,Fundamentus!A:U,8,FALSE)&gt;3,"Alerta","n/a"))))</f>
        <v>Saudável</v>
      </c>
      <c r="EO144" s="28" t="str">
        <f t="shared" si="167"/>
        <v>Ruim</v>
      </c>
      <c r="EP144" s="17" t="str">
        <f>IF(VLOOKUP(BM144,Fundamentus!A:U,12,FALSE)&lt;2,"Subvalorizada",IF(VLOOKUP(BM144,Fundamentus!A:U,12,FALSE)&lt;6,"Muita barata",IF(VLOOKUP(BM144,Fundamentus!A:U,12,FALSE)&lt;6,"Barata",IF(VLOOKUP(BM144,Fundamentus!A:U,12,FALSE)&lt;8,"Atrativa",IF(VLOOKUP(BM144,Fundamentus!A:U,12,FALSE)&gt;8,"Supervalorizada","n/a")))))</f>
        <v>Subvalorizada</v>
      </c>
      <c r="ER144" s="17" t="str">
        <f>IF(VLOOKUP(BM144,Fundamentus!A:U,17,FALSE)&lt;0.1,"Fraco retorno",IF(VLOOKUP(BM144,Fundamentus!A:U,17,FALSE)&gt;0.1,"Bom retorno","n/a"))</f>
        <v>Fraco retorno</v>
      </c>
      <c r="ES144" s="17" t="str">
        <f>IF(VLOOKUP(BM144,Fundamentus!A:U,16,FALSE)&lt;0.1,"Ineficiente",IF(VLOOKUP(BM144,Fundamentus!A:U,16,FALSE)&gt;0.1,"Eficiente","n/a"))</f>
        <v>Ineficiente</v>
      </c>
      <c r="ET144" s="33" t="str">
        <f>IF(VLOOKUP(BM144,Fundamentus!A:U,16,FALSE)&lt;0.1,"Oper. Ineficiente",IF(VLOOKUP(BM144,Fundamentus!A:U,16,FALSE)&gt;0.1,"Oper.Eficiente","n/a"))</f>
        <v>Oper. Ineficiente</v>
      </c>
      <c r="EU144" s="34">
        <f>VLOOKUP(BM144,Fundamentus!A:U,14,FALSE)</f>
        <v>8.5199999999999998E-2</v>
      </c>
      <c r="EV144" s="17" t="str">
        <f>IF(VLOOKUP(BM144,Fundamentus!A:U,21,FALSE)&lt;0,"Negativo",IF(VLOOKUP(BM144,Fundamentus!A:U,21,FALSE)&lt;0.05,"Fraco",IF(VLOOKUP(BM144,Fundamentus!A:U,21,FALSE)&lt;0.1,"Bom",IF(VLOOKUP(BM144,Fundamentus!A:U,21,FALSE)&gt;0.1,"Muito bom","n/a"))))</f>
        <v>Muito bom</v>
      </c>
      <c r="EX144" s="29" t="str">
        <f>IF(VLOOKUP(BM144,Fundamentus!A:U,15,FALSE)&gt;1,"Bom",IF(VLOOKUP(BM144,Fundamentus!A:U,15,FALSE)&lt;1,"Ruim","n/a"))</f>
        <v>Ruim</v>
      </c>
      <c r="EY144" s="17" t="str">
        <f>IF(VLOOKUP(BM144,Fundamentus!A:U,20,FALSE)&lt;0.5,"Baixa",IF(VLOOKUP(BM144,Fundamentus!A:U,20,FALSE)&lt;1,"Moderada",IF(VLOOKUP(BM144,Fundamentus!A:U,20,FALSE)&lt;2,"Alerta",IF(VLOOKUP(BM144,Fundamentus!A:U,20,FALSE)&gt;2,"Alta","n/a"))))</f>
        <v>Baixa</v>
      </c>
      <c r="EZ144" s="10"/>
    </row>
    <row r="145" spans="1:156" s="2" customFormat="1" ht="11.25" x14ac:dyDescent="0.2">
      <c r="A145" s="4">
        <v>18.010000000000002</v>
      </c>
      <c r="B145" s="4">
        <v>16.86</v>
      </c>
      <c r="C145" s="4">
        <v>17.489999999999998</v>
      </c>
      <c r="D145" s="4">
        <v>16.14</v>
      </c>
      <c r="E145" s="4">
        <v>15.7</v>
      </c>
      <c r="F145" s="4">
        <v>16.28</v>
      </c>
      <c r="G145" s="4">
        <v>15.91</v>
      </c>
      <c r="H145" s="4">
        <v>15.56</v>
      </c>
      <c r="I145" s="4">
        <v>15.55</v>
      </c>
      <c r="J145" s="4">
        <v>15.7</v>
      </c>
      <c r="K145" s="4">
        <v>15.56</v>
      </c>
      <c r="L145" s="4">
        <v>15.5</v>
      </c>
      <c r="M145" s="4">
        <v>15.7</v>
      </c>
      <c r="N145" s="4">
        <v>15.88</v>
      </c>
      <c r="O145" s="4">
        <v>16.55</v>
      </c>
      <c r="P145" s="4">
        <v>16.91</v>
      </c>
      <c r="Q145" s="4">
        <v>16.98</v>
      </c>
      <c r="R145" s="4">
        <v>16.329999999999998</v>
      </c>
      <c r="S145" s="4">
        <v>16.239999999999998</v>
      </c>
      <c r="T145" s="4">
        <v>16.12</v>
      </c>
      <c r="U145" s="4">
        <v>15.92</v>
      </c>
      <c r="V145" s="4">
        <v>15.97</v>
      </c>
      <c r="W145" s="4">
        <v>15.4</v>
      </c>
      <c r="X145" s="4">
        <v>15.35</v>
      </c>
      <c r="Y145" s="4">
        <v>15.15</v>
      </c>
      <c r="Z145" s="4">
        <v>15.26</v>
      </c>
      <c r="AA145" s="4">
        <v>14.84</v>
      </c>
      <c r="AB145" s="4">
        <v>15.11</v>
      </c>
      <c r="AC145" s="4">
        <v>16.7</v>
      </c>
      <c r="AD145" s="4">
        <v>15.84</v>
      </c>
      <c r="AE145" s="4">
        <v>14.79</v>
      </c>
      <c r="AF145" s="4">
        <v>15</v>
      </c>
      <c r="AG145" s="4">
        <v>15.39</v>
      </c>
      <c r="AH145" s="4">
        <v>14.39</v>
      </c>
      <c r="AI145" s="4">
        <v>14.23</v>
      </c>
      <c r="AJ145" s="4">
        <v>13.87</v>
      </c>
      <c r="AK145" s="4">
        <v>14.03</v>
      </c>
      <c r="AL145" s="4">
        <v>15.05</v>
      </c>
      <c r="AM145" s="4">
        <v>15.72</v>
      </c>
      <c r="AN145" s="4">
        <v>15.65</v>
      </c>
      <c r="AO145" s="4">
        <v>15.59</v>
      </c>
      <c r="AP145" s="4">
        <v>16.21</v>
      </c>
      <c r="AQ145" s="4">
        <v>16.510000000000002</v>
      </c>
      <c r="AR145" s="4">
        <v>16.45</v>
      </c>
      <c r="AS145" s="4">
        <v>16.5</v>
      </c>
      <c r="AT145" s="4">
        <v>16.75</v>
      </c>
      <c r="AU145" s="4">
        <v>18.510000000000002</v>
      </c>
      <c r="AV145" s="4">
        <v>18.649999999999999</v>
      </c>
      <c r="AW145" s="4">
        <v>16.98</v>
      </c>
      <c r="AX145" s="4">
        <v>18.93</v>
      </c>
      <c r="AY145" s="12">
        <v>19.149999999999999</v>
      </c>
      <c r="AZ145" s="12">
        <v>19.95</v>
      </c>
      <c r="BA145" s="12">
        <v>22</v>
      </c>
      <c r="BB145" s="15">
        <v>22.28</v>
      </c>
      <c r="BC145" s="52">
        <v>22.99</v>
      </c>
      <c r="BD145" s="52">
        <v>22.39</v>
      </c>
      <c r="BE145" s="52">
        <v>22.27</v>
      </c>
      <c r="BF145" s="52">
        <v>22.5</v>
      </c>
      <c r="BG145" s="67">
        <v>22.84</v>
      </c>
      <c r="BH145" s="52">
        <v>22.61</v>
      </c>
      <c r="BI145" s="52">
        <v>22.56</v>
      </c>
      <c r="BJ145" s="52">
        <v>23.45</v>
      </c>
      <c r="BK145" s="52">
        <v>22.5</v>
      </c>
      <c r="BL145" s="52" cm="1">
        <f t="array" aca="1" ref="BL145" ca="1">_FV(EC145,"Preço")</f>
        <v>22.5</v>
      </c>
      <c r="BM145" s="69" t="s">
        <v>141</v>
      </c>
      <c r="BN145" s="36" cm="1">
        <f t="array" aca="1" ref="BN145" ca="1">_FV(EC145,"Média de volume",TRUE)</f>
        <v>8884360</v>
      </c>
      <c r="BO145" s="36">
        <v>2800</v>
      </c>
      <c r="BP145" s="36" cm="1">
        <f t="array" aca="1" ref="BP145" ca="1">_FV(EC145,"Volume")</f>
        <v>2800</v>
      </c>
      <c r="BQ145" s="24" cm="1">
        <f t="array" aca="1" ref="BQ145" ca="1">_FV(EC145,"Beta")</f>
        <v>1.3775999999999999</v>
      </c>
      <c r="BR145" s="71" cm="1">
        <f t="array" aca="1" ref="BR145" ca="1">_FV(EC145,"Variação (%)",TRUE)</f>
        <v>-3.5430000000000001E-3</v>
      </c>
      <c r="BT145" s="17" cm="1">
        <f t="array" aca="1" ref="BT145" ca="1">_FV(EC145,"Baixo")</f>
        <v>22.2</v>
      </c>
      <c r="BU145" s="17" cm="1">
        <f t="array" aca="1" ref="BU145" ca="1">_FV(EC145,"Alto")</f>
        <v>23.46</v>
      </c>
      <c r="BV145" s="24"/>
      <c r="BW145" s="63">
        <f ca="1">SQRT(22.5*(BL145/VLOOKUP(BM145,Fundamentus!A:U,3,FALSE))*(BL145/VLOOKUP(BM145,Fundamentus!A:U,4,FALSE)))</f>
        <v>10.973071497864744</v>
      </c>
      <c r="BY145" s="62">
        <f t="shared" ca="1" si="168"/>
        <v>0</v>
      </c>
      <c r="BZ145" s="8"/>
      <c r="CA145" s="61">
        <f t="shared" si="169"/>
        <v>13.87</v>
      </c>
      <c r="CB145" s="61">
        <f t="shared" si="170"/>
        <v>23.45</v>
      </c>
      <c r="CC145" s="61">
        <f t="shared" si="171"/>
        <v>17.257142857142856</v>
      </c>
      <c r="CD145" s="14"/>
      <c r="CE145" s="35">
        <f t="shared" si="154"/>
        <v>22.135426170925832</v>
      </c>
      <c r="CF145" s="15">
        <f t="shared" si="172"/>
        <v>22.80800000000005</v>
      </c>
      <c r="CG145" s="35">
        <f t="shared" si="155"/>
        <v>23.480573829074267</v>
      </c>
      <c r="CI145" s="14"/>
      <c r="CJ145" s="17">
        <f t="shared" si="156"/>
        <v>7.483333333333329</v>
      </c>
      <c r="CK145" s="17">
        <f t="shared" si="157"/>
        <v>10.676666666666664</v>
      </c>
      <c r="CL145" s="17">
        <f t="shared" si="158"/>
        <v>17.063333333333329</v>
      </c>
      <c r="CM145" s="38">
        <f t="shared" si="173"/>
        <v>20.256666666666664</v>
      </c>
      <c r="CN145" s="17">
        <f t="shared" si="159"/>
        <v>26.643333333333331</v>
      </c>
      <c r="CO145" s="17">
        <f t="shared" si="160"/>
        <v>29.836666666666666</v>
      </c>
      <c r="CP145" s="17">
        <f t="shared" si="161"/>
        <v>36.223333333333329</v>
      </c>
      <c r="CQ145" s="2" cm="1">
        <f t="array" aca="1" ref="CQ145" ca="1">MAX(_xlfn._xlws.FILTER(CJ145:CP145,CJ145:CP145&lt;BL145))</f>
        <v>20.256666666666664</v>
      </c>
      <c r="CR145" s="2" cm="1">
        <f t="array" aca="1" ref="CR145" ca="1">MIN(_xlfn._xlws.FILTER($CJ145:$CP145,$CJ145:$CP145&gt;BL145))</f>
        <v>26.643333333333331</v>
      </c>
      <c r="CS145" s="16">
        <f t="shared" ca="1" si="136"/>
        <v>0.3152871482639461</v>
      </c>
      <c r="CT145" s="20">
        <f t="shared" ca="1" si="137"/>
        <v>-0.15764357413197305</v>
      </c>
      <c r="CU145" s="20">
        <f t="shared" ca="1" si="138"/>
        <v>-0.10509571608798203</v>
      </c>
      <c r="CV145" s="20">
        <f t="shared" ca="1" si="139"/>
        <v>-6.3057429652789224E-2</v>
      </c>
      <c r="CW145" s="20">
        <f t="shared" ca="1" si="140"/>
        <v>-3.5031905362660681E-2</v>
      </c>
      <c r="CX145" s="20">
        <f t="shared" ca="1" si="141"/>
        <v>-1.8546302839055652E-2</v>
      </c>
      <c r="CY145" s="20">
        <f t="shared" ca="1" si="142"/>
        <v>-9.554156007998367E-3</v>
      </c>
      <c r="CZ145" s="20">
        <f t="shared" ca="1" si="143"/>
        <v>-4.8505715117530173E-3</v>
      </c>
      <c r="DA145" s="21">
        <f t="shared" ca="1" si="144"/>
        <v>4.8505715117530173E-3</v>
      </c>
      <c r="DB145" s="21">
        <f t="shared" ca="1" si="145"/>
        <v>9.554156007998367E-3</v>
      </c>
      <c r="DC145" s="21">
        <f t="shared" ca="1" si="146"/>
        <v>1.8546302839055652E-2</v>
      </c>
      <c r="DD145" s="21">
        <f t="shared" ca="1" si="147"/>
        <v>3.5031905362660681E-2</v>
      </c>
      <c r="DE145" s="21">
        <f t="shared" ca="1" si="148"/>
        <v>6.3057429652789224E-2</v>
      </c>
      <c r="DF145" s="21">
        <f t="shared" ca="1" si="149"/>
        <v>0.10509571608798203</v>
      </c>
      <c r="DG145" s="21">
        <f t="shared" ca="1" si="150"/>
        <v>0.15764357413197305</v>
      </c>
      <c r="DI145" s="16" cm="1">
        <f t="array" aca="1" ref="DI145" ca="1">MAX(_xlfn._xlws.FILTER(CT145:DG145,CT145:DG145&lt;BR145))</f>
        <v>-4.8505715117530173E-3</v>
      </c>
      <c r="DJ145" s="16" cm="1">
        <f t="array" aca="1" ref="DJ145" ca="1">MIN(_xlfn._xlws.FILTER(CT145:DG145,CT145:DG145&gt;BR145))</f>
        <v>4.8505715117530173E-3</v>
      </c>
      <c r="DK145" s="2" cm="1">
        <f t="array" aca="1" ref="DK145" ca="1">_FV(EC145,"Fechamento anterior",TRUE)</f>
        <v>22.58</v>
      </c>
      <c r="DL145" s="28">
        <f t="shared" ca="1" si="162"/>
        <v>0.13478959524104711</v>
      </c>
      <c r="DM145" s="15">
        <f t="shared" ca="1" si="151"/>
        <v>22.470474095264617</v>
      </c>
      <c r="DN145" s="15">
        <f t="shared" ca="1" si="152"/>
        <v>22.68952590473538</v>
      </c>
      <c r="DO145" s="9"/>
      <c r="DP145" s="9"/>
      <c r="DQ145" s="9"/>
      <c r="DR145" s="89">
        <v>7.4357572443958502E-3</v>
      </c>
      <c r="DS145" s="89">
        <v>4.5205046210071344E-3</v>
      </c>
      <c r="DT145" s="89">
        <v>8.992146831057285E-3</v>
      </c>
      <c r="DU145" s="89">
        <v>9.7011430235060345E-3</v>
      </c>
      <c r="DV145" s="89">
        <f t="shared" ca="1" si="163"/>
        <v>9.7011430235060345E-3</v>
      </c>
      <c r="DW145" s="72">
        <f t="shared" ca="1" si="164"/>
        <v>-0.45794229077275383</v>
      </c>
      <c r="DX145" s="37"/>
      <c r="DY145" s="35">
        <f t="shared" si="174"/>
        <v>0.33628691453710896</v>
      </c>
      <c r="DZ145" s="56"/>
      <c r="EA145" s="56"/>
      <c r="EC145" s="2" t="e" vm="145">
        <v>#VALUE!</v>
      </c>
      <c r="EE145" s="10" cm="1">
        <f t="array" aca="1" ref="EE145" ca="1">_FV(EC145,"Ações em circulação",TRUE)</f>
        <v>10108690000</v>
      </c>
      <c r="EF145" s="18">
        <f>VLOOKUP(BM145,Fundamentus!A:U,5,FALSE)</f>
        <v>0</v>
      </c>
      <c r="EG145" s="2" t="e">
        <f t="shared" ca="1" si="165"/>
        <v>#DIV/0!</v>
      </c>
      <c r="EH145" s="17" t="e">
        <v>#DIV/0!</v>
      </c>
      <c r="EI145" s="17" t="e">
        <f t="shared" ca="1" si="166"/>
        <v>#DIV/0!</v>
      </c>
      <c r="EK145" s="16" t="e">
        <f t="shared" ca="1" si="153"/>
        <v>#DIV/0!</v>
      </c>
      <c r="EL145" s="32" t="str">
        <f>IF(VLOOKUP(BM145,Fundamentus!A:U,3,FALSE)&lt;15,"Bom",IF(VLOOKUP(BM145,Fundamentus!A:U,3,FALSE)&gt;15,"Ruim","n/a"))</f>
        <v>Ruim</v>
      </c>
      <c r="EM145" s="28" t="str">
        <f>IF(VLOOKUP(BM145,Fundamentus!A:U,4,FALSE)&lt;1,"Baixo",IF(VLOOKUP(BM145,Fundamentus!A:U,4,FALSE)&lt;1.5,"Moderado",IF(VLOOKUP(BM145,Fundamentus!A:U,4,FALSE)&gt;1.5,"Alto","n/a")))</f>
        <v>Alto</v>
      </c>
      <c r="EN145" s="17" t="str">
        <f>IF(VLOOKUP(BM145,Fundamentus!A:U,8,FALSE)&lt;0,"Risco elevado",IF(VLOOKUP(BM145,Fundamentus!A:U,8,FALSE)&lt;1,"Saudável",IF(VLOOKUP(BM145,Fundamentus!A:U,8,FALSE)&lt;3,"Estável",IF(VLOOKUP(BM145,Fundamentus!A:U,8,FALSE)&gt;3,"Alerta","n/a"))))</f>
        <v>Saudável</v>
      </c>
      <c r="EO145" s="28" t="str">
        <f t="shared" si="167"/>
        <v>Ruim</v>
      </c>
      <c r="EP145" s="17" t="str">
        <f>IF(VLOOKUP(BM145,Fundamentus!A:U,12,FALSE)&lt;2,"Subvalorizada",IF(VLOOKUP(BM145,Fundamentus!A:U,12,FALSE)&lt;6,"Muita barata",IF(VLOOKUP(BM145,Fundamentus!A:U,12,FALSE)&lt;6,"Barata",IF(VLOOKUP(BM145,Fundamentus!A:U,12,FALSE)&lt;8,"Atrativa",IF(VLOOKUP(BM145,Fundamentus!A:U,12,FALSE)&gt;8,"Supervalorizada","n/a")))))</f>
        <v>Subvalorizada</v>
      </c>
      <c r="ER145" s="17" t="str">
        <f>IF(VLOOKUP(BM145,Fundamentus!A:U,17,FALSE)&lt;0.1,"Fraco retorno",IF(VLOOKUP(BM145,Fundamentus!A:U,17,FALSE)&gt;0.1,"Bom retorno","n/a"))</f>
        <v>Bom retorno</v>
      </c>
      <c r="ES145" s="17" t="str">
        <f>IF(VLOOKUP(BM145,Fundamentus!A:U,16,FALSE)&lt;0.1,"Ineficiente",IF(VLOOKUP(BM145,Fundamentus!A:U,16,FALSE)&gt;0.1,"Eficiente","n/a"))</f>
        <v>Ineficiente</v>
      </c>
      <c r="ET145" s="33" t="str">
        <f>IF(VLOOKUP(BM145,Fundamentus!A:U,16,FALSE)&lt;0.1,"Oper. Ineficiente",IF(VLOOKUP(BM145,Fundamentus!A:U,16,FALSE)&gt;0.1,"Oper.Eficiente","n/a"))</f>
        <v>Oper. Ineficiente</v>
      </c>
      <c r="EU145" s="34">
        <f>VLOOKUP(BM145,Fundamentus!A:U,14,FALSE)</f>
        <v>0</v>
      </c>
      <c r="EV145" s="17" t="str">
        <f>IF(VLOOKUP(BM145,Fundamentus!A:U,21,FALSE)&lt;0,"Negativo",IF(VLOOKUP(BM145,Fundamentus!A:U,21,FALSE)&lt;0.05,"Fraco",IF(VLOOKUP(BM145,Fundamentus!A:U,21,FALSE)&lt;0.1,"Bom",IF(VLOOKUP(BM145,Fundamentus!A:U,21,FALSE)&gt;0.1,"Muito bom","n/a"))))</f>
        <v>Muito bom</v>
      </c>
      <c r="EX145" s="29" t="str">
        <f>IF(VLOOKUP(BM145,Fundamentus!A:U,15,FALSE)&gt;1,"Bom",IF(VLOOKUP(BM145,Fundamentus!A:U,15,FALSE)&lt;1,"Ruim","n/a"))</f>
        <v>Ruim</v>
      </c>
      <c r="EY145" s="17" t="str">
        <f>IF(VLOOKUP(BM145,Fundamentus!A:U,20,FALSE)&lt;0.5,"Baixa",IF(VLOOKUP(BM145,Fundamentus!A:U,20,FALSE)&lt;1,"Moderada",IF(VLOOKUP(BM145,Fundamentus!A:U,20,FALSE)&lt;2,"Alerta",IF(VLOOKUP(BM145,Fundamentus!A:U,20,FALSE)&gt;2,"Alta","n/a"))))</f>
        <v>Baixa</v>
      </c>
      <c r="EZ145" s="10"/>
    </row>
    <row r="146" spans="1:156" s="2" customFormat="1" ht="11.25" x14ac:dyDescent="0.2">
      <c r="A146" s="4">
        <v>22.87</v>
      </c>
      <c r="B146" s="4">
        <v>23.92</v>
      </c>
      <c r="C146" s="4">
        <v>23.06</v>
      </c>
      <c r="D146" s="4">
        <v>22.16</v>
      </c>
      <c r="E146" s="4">
        <v>21.71</v>
      </c>
      <c r="F146" s="4">
        <v>21.73</v>
      </c>
      <c r="G146" s="4">
        <v>20.350000000000001</v>
      </c>
      <c r="H146" s="4">
        <v>20.45</v>
      </c>
      <c r="I146" s="4">
        <v>20.9</v>
      </c>
      <c r="J146" s="4">
        <v>22.78</v>
      </c>
      <c r="K146" s="4">
        <v>23.14</v>
      </c>
      <c r="L146" s="4">
        <v>22.54</v>
      </c>
      <c r="M146" s="4">
        <v>23.16</v>
      </c>
      <c r="N146" s="4">
        <v>24.36</v>
      </c>
      <c r="O146" s="4">
        <v>26.47</v>
      </c>
      <c r="P146" s="4">
        <v>26.3</v>
      </c>
      <c r="Q146" s="4">
        <v>27.02</v>
      </c>
      <c r="R146" s="4">
        <v>26.42</v>
      </c>
      <c r="S146" s="4">
        <v>27.97</v>
      </c>
      <c r="T146" s="4">
        <v>28.57</v>
      </c>
      <c r="U146" s="4">
        <v>28</v>
      </c>
      <c r="V146" s="4">
        <v>27.11</v>
      </c>
      <c r="W146" s="4">
        <v>27.7</v>
      </c>
      <c r="X146" s="4">
        <v>26.92</v>
      </c>
      <c r="Y146" s="4">
        <v>25.28</v>
      </c>
      <c r="Z146" s="4">
        <v>24.71</v>
      </c>
      <c r="AA146" s="4">
        <v>24.74</v>
      </c>
      <c r="AB146" s="4">
        <v>25.5</v>
      </c>
      <c r="AC146" s="4">
        <v>24</v>
      </c>
      <c r="AD146" s="4">
        <v>23.77</v>
      </c>
      <c r="AE146" s="4">
        <v>22.93</v>
      </c>
      <c r="AF146" s="4">
        <v>22.72</v>
      </c>
      <c r="AG146" s="4">
        <v>21.41</v>
      </c>
      <c r="AH146" s="4">
        <v>19.96</v>
      </c>
      <c r="AI146" s="4">
        <v>19.27</v>
      </c>
      <c r="AJ146" s="4">
        <v>18.100000000000001</v>
      </c>
      <c r="AK146" s="4">
        <v>18.5</v>
      </c>
      <c r="AL146" s="4">
        <v>19.2</v>
      </c>
      <c r="AM146" s="4">
        <v>20.239999999999998</v>
      </c>
      <c r="AN146" s="4">
        <v>21.43</v>
      </c>
      <c r="AO146" s="4">
        <v>19.989999999999998</v>
      </c>
      <c r="AP146" s="4">
        <v>18.989999999999998</v>
      </c>
      <c r="AQ146" s="4">
        <v>19.16</v>
      </c>
      <c r="AR146" s="4">
        <v>17.059999999999999</v>
      </c>
      <c r="AS146" s="4">
        <v>17.79</v>
      </c>
      <c r="AT146" s="4">
        <v>17.850000000000001</v>
      </c>
      <c r="AU146" s="4">
        <v>19.195</v>
      </c>
      <c r="AV146" s="4">
        <v>20.09</v>
      </c>
      <c r="AW146" s="4">
        <v>19.829999999999998</v>
      </c>
      <c r="AX146" s="4">
        <v>19.899999999999999</v>
      </c>
      <c r="AY146" s="12">
        <v>19.920000000000002</v>
      </c>
      <c r="AZ146" s="12">
        <v>21.14</v>
      </c>
      <c r="BA146" s="12">
        <v>22.11</v>
      </c>
      <c r="BB146" s="15">
        <v>21.9</v>
      </c>
      <c r="BC146" s="52">
        <v>24.14</v>
      </c>
      <c r="BD146" s="52">
        <v>24.61</v>
      </c>
      <c r="BE146" s="52">
        <v>25.99</v>
      </c>
      <c r="BF146" s="52">
        <v>24.62</v>
      </c>
      <c r="BG146" s="67">
        <v>24.36</v>
      </c>
      <c r="BH146" s="52">
        <v>25.47</v>
      </c>
      <c r="BI146" s="52">
        <v>26.18</v>
      </c>
      <c r="BJ146" s="52">
        <v>27.23</v>
      </c>
      <c r="BK146" s="52">
        <v>25.51</v>
      </c>
      <c r="BL146" s="52" cm="1">
        <f t="array" aca="1" ref="BL146" ca="1">_FV(EC146,"Preço")</f>
        <v>25.51</v>
      </c>
      <c r="BM146" s="69" t="s">
        <v>142</v>
      </c>
      <c r="BN146" s="36" cm="1">
        <f t="array" aca="1" ref="BN146" ca="1">_FV(EC146,"Média de volume",TRUE)</f>
        <v>2487030</v>
      </c>
      <c r="BO146" s="36">
        <v>2749800</v>
      </c>
      <c r="BP146" s="36" cm="1">
        <f t="array" aca="1" ref="BP146" ca="1">_FV(EC146,"Volume")</f>
        <v>2749800</v>
      </c>
      <c r="BQ146" s="24" cm="1">
        <f t="array" aca="1" ref="BQ146" ca="1">_FV(EC146,"Beta")</f>
        <v>1.4258999999999999</v>
      </c>
      <c r="BR146" s="71" cm="1">
        <f t="array" aca="1" ref="BR146" ca="1">_FV(EC146,"Variação (%)",TRUE)</f>
        <v>-2.6335999999999998E-2</v>
      </c>
      <c r="BT146" s="17" cm="1">
        <f t="array" aca="1" ref="BT146" ca="1">_FV(EC146,"Baixo")</f>
        <v>25.25</v>
      </c>
      <c r="BU146" s="17" cm="1">
        <f t="array" aca="1" ref="BU146" ca="1">_FV(EC146,"Alto")</f>
        <v>25.96</v>
      </c>
      <c r="BV146" s="24"/>
      <c r="BW146" s="63">
        <f ca="1">SQRT(22.5*(BL146/VLOOKUP(BM146,Fundamentus!A:U,3,FALSE))*(BL146/VLOOKUP(BM146,Fundamentus!A:U,4,FALSE)))</f>
        <v>29.117598204319457</v>
      </c>
      <c r="BY146" s="62">
        <f t="shared" ca="1" si="168"/>
        <v>0</v>
      </c>
      <c r="BZ146" s="8"/>
      <c r="CA146" s="61">
        <f t="shared" si="169"/>
        <v>17.059999999999999</v>
      </c>
      <c r="CB146" s="61">
        <f t="shared" si="170"/>
        <v>28.57</v>
      </c>
      <c r="CC146" s="61">
        <f t="shared" si="171"/>
        <v>22.863571428571426</v>
      </c>
      <c r="CD146" s="14"/>
      <c r="CE146" s="35">
        <f t="shared" si="154"/>
        <v>24.239843546169638</v>
      </c>
      <c r="CF146" s="15">
        <f t="shared" si="172"/>
        <v>26.155999999999949</v>
      </c>
      <c r="CG146" s="35">
        <f t="shared" si="155"/>
        <v>28.07215645383026</v>
      </c>
      <c r="CI146" s="14"/>
      <c r="CJ146" s="17">
        <f t="shared" si="156"/>
        <v>8.4933333333333287</v>
      </c>
      <c r="CK146" s="17">
        <f t="shared" si="157"/>
        <v>12.776666666666664</v>
      </c>
      <c r="CL146" s="17">
        <f t="shared" si="158"/>
        <v>20.00333333333333</v>
      </c>
      <c r="CM146" s="38">
        <f t="shared" si="173"/>
        <v>24.286666666666665</v>
      </c>
      <c r="CN146" s="17">
        <f t="shared" si="159"/>
        <v>31.513333333333332</v>
      </c>
      <c r="CO146" s="17">
        <f t="shared" si="160"/>
        <v>35.796666666666667</v>
      </c>
      <c r="CP146" s="17">
        <f t="shared" si="161"/>
        <v>43.023333333333333</v>
      </c>
      <c r="CQ146" s="2" cm="1">
        <f t="array" aca="1" ref="CQ146" ca="1">MAX(_xlfn._xlws.FILTER(CJ146:CP146,CJ146:CP146&lt;BL146))</f>
        <v>24.286666666666665</v>
      </c>
      <c r="CR146" s="2" cm="1">
        <f t="array" aca="1" ref="CR146" ca="1">MIN(_xlfn._xlws.FILTER($CJ146:$CP146,$CJ146:$CP146&gt;BL146))</f>
        <v>31.513333333333332</v>
      </c>
      <c r="CS146" s="16">
        <f t="shared" ca="1" si="136"/>
        <v>0.29755695855064501</v>
      </c>
      <c r="CT146" s="20">
        <f t="shared" ca="1" si="137"/>
        <v>-0.14877847927532251</v>
      </c>
      <c r="CU146" s="20">
        <f t="shared" ca="1" si="138"/>
        <v>-9.9185652850215009E-2</v>
      </c>
      <c r="CV146" s="20">
        <f t="shared" ca="1" si="139"/>
        <v>-5.9511391710129001E-2</v>
      </c>
      <c r="CW146" s="20">
        <f t="shared" ca="1" si="140"/>
        <v>-3.3061884283405001E-2</v>
      </c>
      <c r="CX146" s="20">
        <f t="shared" ca="1" si="141"/>
        <v>-1.7503350502979118E-2</v>
      </c>
      <c r="CY146" s="20">
        <f t="shared" ca="1" si="142"/>
        <v>-9.0168775318377279E-3</v>
      </c>
      <c r="CZ146" s="20">
        <f t="shared" ca="1" si="143"/>
        <v>-4.5777993623176156E-3</v>
      </c>
      <c r="DA146" s="21">
        <f t="shared" ca="1" si="144"/>
        <v>4.5777993623176156E-3</v>
      </c>
      <c r="DB146" s="21">
        <f t="shared" ca="1" si="145"/>
        <v>9.0168775318377279E-3</v>
      </c>
      <c r="DC146" s="21">
        <f t="shared" ca="1" si="146"/>
        <v>1.7503350502979118E-2</v>
      </c>
      <c r="DD146" s="21">
        <f t="shared" ca="1" si="147"/>
        <v>3.3061884283405001E-2</v>
      </c>
      <c r="DE146" s="21">
        <f t="shared" ca="1" si="148"/>
        <v>5.9511391710129001E-2</v>
      </c>
      <c r="DF146" s="21">
        <f t="shared" ca="1" si="149"/>
        <v>9.9185652850215009E-2</v>
      </c>
      <c r="DG146" s="21">
        <f t="shared" ca="1" si="150"/>
        <v>0.14877847927532251</v>
      </c>
      <c r="DI146" s="16" cm="1">
        <f t="array" aca="1" ref="DI146" ca="1">MAX(_xlfn._xlws.FILTER(CT146:DG146,CT146:DG146&lt;BR146))</f>
        <v>-3.3061884283405001E-2</v>
      </c>
      <c r="DJ146" s="16" cm="1">
        <f t="array" aca="1" ref="DJ146" ca="1">MIN(_xlfn._xlws.FILTER(CT146:DG146,CT146:DG146&gt;BR146))</f>
        <v>-1.7503350502979118E-2</v>
      </c>
      <c r="DK146" s="2" cm="1">
        <f t="array" aca="1" ref="DK146" ca="1">_FV(EC146,"Fechamento anterior",TRUE)</f>
        <v>26.2</v>
      </c>
      <c r="DL146" s="28">
        <f t="shared" ca="1" si="162"/>
        <v>0.4323033594124176</v>
      </c>
      <c r="DM146" s="15">
        <f t="shared" ca="1" si="151"/>
        <v>25.333778631774788</v>
      </c>
      <c r="DN146" s="15">
        <f t="shared" ca="1" si="152"/>
        <v>25.741412216821946</v>
      </c>
      <c r="DO146" s="9"/>
      <c r="DP146" s="9"/>
      <c r="DQ146" s="9"/>
      <c r="DR146" s="89">
        <v>1.3220743285148615E-2</v>
      </c>
      <c r="DS146" s="89">
        <v>7.664960540581427E-3</v>
      </c>
      <c r="DT146" s="89">
        <v>9.1555987246352312E-3</v>
      </c>
      <c r="DU146" s="89">
        <v>1.5558533780425883E-2</v>
      </c>
      <c r="DV146" s="89">
        <f t="shared" ca="1" si="163"/>
        <v>1.5558533780425883E-2</v>
      </c>
      <c r="DW146" s="72">
        <f t="shared" ca="1" si="164"/>
        <v>-0.33713322245092375</v>
      </c>
      <c r="DX146" s="37"/>
      <c r="DY146" s="35">
        <f t="shared" si="174"/>
        <v>0.95807822691515587</v>
      </c>
      <c r="DZ146" s="56"/>
      <c r="EA146" s="56"/>
      <c r="EC146" s="2" t="e" vm="146">
        <v>#VALUE!</v>
      </c>
      <c r="EE146" s="10" cm="1">
        <f t="array" aca="1" ref="EE146" ca="1">_FV(EC146,"Ações em circulação",TRUE)</f>
        <v>236197800</v>
      </c>
      <c r="EF146" s="18">
        <f>VLOOKUP(BM146,Fundamentus!A:U,5,FALSE)</f>
        <v>2.1549999999999998</v>
      </c>
      <c r="EG146" s="2">
        <f t="shared" ca="1" si="165"/>
        <v>2796012008.3526683</v>
      </c>
      <c r="EH146" s="17">
        <v>767225695.09197211</v>
      </c>
      <c r="EI146" s="17">
        <f t="shared" ca="1" si="166"/>
        <v>767225695.09197211</v>
      </c>
      <c r="EK146" s="16">
        <f t="shared" ca="1" si="153"/>
        <v>0</v>
      </c>
      <c r="EL146" s="32" t="str">
        <f>IF(VLOOKUP(BM146,Fundamentus!A:U,3,FALSE)&lt;15,"Bom",IF(VLOOKUP(BM146,Fundamentus!A:U,3,FALSE)&gt;15,"Ruim","n/a"))</f>
        <v>Bom</v>
      </c>
      <c r="EM146" s="28" t="str">
        <f>IF(VLOOKUP(BM146,Fundamentus!A:U,4,FALSE)&lt;1,"Baixo",IF(VLOOKUP(BM146,Fundamentus!A:U,4,FALSE)&lt;1.5,"Moderado",IF(VLOOKUP(BM146,Fundamentus!A:U,4,FALSE)&gt;1.5,"Alto","n/a")))</f>
        <v>Alto</v>
      </c>
      <c r="EN146" s="17" t="str">
        <f>IF(VLOOKUP(BM146,Fundamentus!A:U,8,FALSE)&lt;0,"Risco elevado",IF(VLOOKUP(BM146,Fundamentus!A:U,8,FALSE)&lt;1,"Saudável",IF(VLOOKUP(BM146,Fundamentus!A:U,8,FALSE)&lt;3,"Estável",IF(VLOOKUP(BM146,Fundamentus!A:U,8,FALSE)&gt;3,"Alerta","n/a"))))</f>
        <v>Alerta</v>
      </c>
      <c r="EO146" s="28" t="str">
        <f t="shared" si="167"/>
        <v>Bom</v>
      </c>
      <c r="EP146" s="17" t="str">
        <f>IF(VLOOKUP(BM146,Fundamentus!A:U,12,FALSE)&lt;2,"Subvalorizada",IF(VLOOKUP(BM146,Fundamentus!A:U,12,FALSE)&lt;6,"Muita barata",IF(VLOOKUP(BM146,Fundamentus!A:U,12,FALSE)&lt;6,"Barata",IF(VLOOKUP(BM146,Fundamentus!A:U,12,FALSE)&lt;8,"Atrativa",IF(VLOOKUP(BM146,Fundamentus!A:U,12,FALSE)&gt;8,"Supervalorizada","n/a")))))</f>
        <v>Atrativa</v>
      </c>
      <c r="ER146" s="17" t="str">
        <f>IF(VLOOKUP(BM146,Fundamentus!A:U,17,FALSE)&lt;0.1,"Fraco retorno",IF(VLOOKUP(BM146,Fundamentus!A:U,17,FALSE)&gt;0.1,"Bom retorno","n/a"))</f>
        <v>Bom retorno</v>
      </c>
      <c r="ES146" s="17" t="str">
        <f>IF(VLOOKUP(BM146,Fundamentus!A:U,16,FALSE)&lt;0.1,"Ineficiente",IF(VLOOKUP(BM146,Fundamentus!A:U,16,FALSE)&gt;0.1,"Eficiente","n/a"))</f>
        <v>Eficiente</v>
      </c>
      <c r="ET146" s="33" t="str">
        <f>IF(VLOOKUP(BM146,Fundamentus!A:U,16,FALSE)&lt;0.1,"Oper. Ineficiente",IF(VLOOKUP(BM146,Fundamentus!A:U,16,FALSE)&gt;0.1,"Oper.Eficiente","n/a"))</f>
        <v>Oper.Eficiente</v>
      </c>
      <c r="EU146" s="34">
        <f>VLOOKUP(BM146,Fundamentus!A:U,14,FALSE)</f>
        <v>0.27439999999999998</v>
      </c>
      <c r="EV146" s="17" t="str">
        <f>IF(VLOOKUP(BM146,Fundamentus!A:U,21,FALSE)&lt;0,"Negativo",IF(VLOOKUP(BM146,Fundamentus!A:U,21,FALSE)&lt;0.05,"Fraco",IF(VLOOKUP(BM146,Fundamentus!A:U,21,FALSE)&lt;0.1,"Bom",IF(VLOOKUP(BM146,Fundamentus!A:U,21,FALSE)&gt;0.1,"Muito bom","n/a"))))</f>
        <v>Muito bom</v>
      </c>
      <c r="EX146" s="29" t="str">
        <f>IF(VLOOKUP(BM146,Fundamentus!A:U,15,FALSE)&gt;1,"Bom",IF(VLOOKUP(BM146,Fundamentus!A:U,15,FALSE)&lt;1,"Ruim","n/a"))</f>
        <v>Bom</v>
      </c>
      <c r="EY146" s="17" t="str">
        <f>IF(VLOOKUP(BM146,Fundamentus!A:U,20,FALSE)&lt;0.5,"Baixa",IF(VLOOKUP(BM146,Fundamentus!A:U,20,FALSE)&lt;1,"Moderada",IF(VLOOKUP(BM146,Fundamentus!A:U,20,FALSE)&lt;2,"Alerta",IF(VLOOKUP(BM146,Fundamentus!A:U,20,FALSE)&gt;2,"Alta","n/a"))))</f>
        <v>Baixa</v>
      </c>
      <c r="EZ146" s="10"/>
    </row>
    <row r="147" spans="1:156" s="2" customFormat="1" ht="11.25" x14ac:dyDescent="0.2">
      <c r="A147" s="4">
        <v>22.9</v>
      </c>
      <c r="B147" s="4">
        <v>22.25</v>
      </c>
      <c r="C147" s="4">
        <v>22.7</v>
      </c>
      <c r="D147" s="4">
        <v>21.82</v>
      </c>
      <c r="E147" s="4">
        <v>21.68</v>
      </c>
      <c r="F147" s="4">
        <v>21.94</v>
      </c>
      <c r="G147" s="4">
        <v>22.43</v>
      </c>
      <c r="H147" s="4">
        <v>22.89</v>
      </c>
      <c r="I147" s="4">
        <v>23.35</v>
      </c>
      <c r="J147" s="4">
        <v>24.74</v>
      </c>
      <c r="K147" s="4">
        <v>23.39</v>
      </c>
      <c r="L147" s="4">
        <v>23.15</v>
      </c>
      <c r="M147" s="4">
        <v>21.45</v>
      </c>
      <c r="N147" s="4">
        <v>22.49</v>
      </c>
      <c r="O147" s="4">
        <v>23.55</v>
      </c>
      <c r="P147" s="4">
        <v>23.81</v>
      </c>
      <c r="Q147" s="4">
        <v>24.57</v>
      </c>
      <c r="R147" s="4">
        <v>23.4</v>
      </c>
      <c r="S147" s="4">
        <v>23.1</v>
      </c>
      <c r="T147" s="4">
        <v>23.15</v>
      </c>
      <c r="U147" s="4">
        <v>22.63</v>
      </c>
      <c r="V147" s="4">
        <v>22.35</v>
      </c>
      <c r="W147" s="4">
        <v>23.22</v>
      </c>
      <c r="X147" s="4">
        <v>21.83</v>
      </c>
      <c r="Y147" s="4">
        <v>21.66</v>
      </c>
      <c r="Z147" s="4">
        <v>22.31</v>
      </c>
      <c r="AA147" s="4">
        <v>22.4</v>
      </c>
      <c r="AB147" s="4">
        <v>23.36</v>
      </c>
      <c r="AC147" s="4">
        <v>22.14</v>
      </c>
      <c r="AD147" s="4">
        <v>21.7</v>
      </c>
      <c r="AE147" s="4">
        <v>20.2</v>
      </c>
      <c r="AF147" s="4">
        <v>21.59</v>
      </c>
      <c r="AG147" s="4">
        <v>19.14</v>
      </c>
      <c r="AH147" s="4">
        <v>17.829999999999998</v>
      </c>
      <c r="AI147" s="4">
        <v>18.27</v>
      </c>
      <c r="AJ147" s="4">
        <v>17.98</v>
      </c>
      <c r="AK147" s="4">
        <v>18.02</v>
      </c>
      <c r="AL147" s="4">
        <v>18.739999999999998</v>
      </c>
      <c r="AM147" s="4">
        <v>16.55</v>
      </c>
      <c r="AN147" s="4">
        <v>18.899999999999999</v>
      </c>
      <c r="AO147" s="4">
        <v>19</v>
      </c>
      <c r="AP147" s="4">
        <v>19.03</v>
      </c>
      <c r="AQ147" s="4">
        <v>18.86</v>
      </c>
      <c r="AR147" s="4">
        <v>18.309999999999999</v>
      </c>
      <c r="AS147" s="4">
        <v>17.37</v>
      </c>
      <c r="AT147" s="4">
        <v>18.05</v>
      </c>
      <c r="AU147" s="4">
        <v>18.18</v>
      </c>
      <c r="AV147" s="4">
        <v>18.3</v>
      </c>
      <c r="AW147" s="4">
        <v>17.88</v>
      </c>
      <c r="AX147" s="4">
        <v>18.78</v>
      </c>
      <c r="AY147" s="12">
        <v>19.16</v>
      </c>
      <c r="AZ147" s="12">
        <v>20.010000000000002</v>
      </c>
      <c r="BA147" s="12">
        <v>21</v>
      </c>
      <c r="BB147" s="15">
        <v>20.75</v>
      </c>
      <c r="BC147" s="52">
        <v>21.32</v>
      </c>
      <c r="BD147" s="52">
        <v>21.63</v>
      </c>
      <c r="BE147" s="52">
        <v>21.14</v>
      </c>
      <c r="BF147" s="52">
        <v>21.56</v>
      </c>
      <c r="BG147" s="67">
        <v>20.73</v>
      </c>
      <c r="BH147" s="52">
        <v>20.73</v>
      </c>
      <c r="BI147" s="52">
        <v>20.72</v>
      </c>
      <c r="BJ147" s="52">
        <v>20.78</v>
      </c>
      <c r="BK147" s="52">
        <v>20.09</v>
      </c>
      <c r="BL147" s="52" cm="1">
        <f t="array" aca="1" ref="BL147" ca="1">_FV(EC147,"Preço")</f>
        <v>20.09</v>
      </c>
      <c r="BM147" s="69" t="s">
        <v>143</v>
      </c>
      <c r="BN147" s="36" cm="1">
        <f t="array" aca="1" ref="BN147" ca="1">_FV(EC147,"Média de volume",TRUE)</f>
        <v>180750</v>
      </c>
      <c r="BO147" s="36">
        <v>125100</v>
      </c>
      <c r="BP147" s="36" cm="1">
        <f t="array" aca="1" ref="BP147" ca="1">_FV(EC147,"Volume")</f>
        <v>125100</v>
      </c>
      <c r="BQ147" s="24" cm="1">
        <f t="array" aca="1" ref="BQ147" ca="1">_FV(EC147,"Beta")</f>
        <v>1.1571</v>
      </c>
      <c r="BR147" s="71" cm="1">
        <f t="array" aca="1" ref="BR147" ca="1">_FV(EC147,"Variação (%)",TRUE)</f>
        <v>-4.4600000000000004E-3</v>
      </c>
      <c r="BT147" s="17" cm="1">
        <f t="array" aca="1" ref="BT147" ca="1">_FV(EC147,"Baixo")</f>
        <v>20.09</v>
      </c>
      <c r="BU147" s="17" cm="1">
        <f t="array" aca="1" ref="BU147" ca="1">_FV(EC147,"Alto")</f>
        <v>20.37</v>
      </c>
      <c r="BV147" s="24"/>
      <c r="BW147" s="63">
        <f ca="1">SQRT(22.5*(BL147/VLOOKUP(BM147,Fundamentus!A:U,3,FALSE))*(BL147/VLOOKUP(BM147,Fundamentus!A:U,4,FALSE)))</f>
        <v>61.131923223771039</v>
      </c>
      <c r="BY147" s="62">
        <f t="shared" ca="1" si="168"/>
        <v>0</v>
      </c>
      <c r="BZ147" s="8"/>
      <c r="CA147" s="61">
        <f t="shared" si="169"/>
        <v>16.55</v>
      </c>
      <c r="CB147" s="61">
        <f t="shared" si="170"/>
        <v>24.74</v>
      </c>
      <c r="CC147" s="61">
        <f t="shared" si="171"/>
        <v>20.999365079365081</v>
      </c>
      <c r="CD147" s="14"/>
      <c r="CE147" s="35">
        <f t="shared" si="154"/>
        <v>19.633660156274917</v>
      </c>
      <c r="CF147" s="15">
        <f t="shared" si="172"/>
        <v>20.48700000000008</v>
      </c>
      <c r="CG147" s="35">
        <f t="shared" si="155"/>
        <v>21.340339843725243</v>
      </c>
      <c r="CI147" s="14"/>
      <c r="CJ147" s="17">
        <f t="shared" si="156"/>
        <v>8.4500000000000064</v>
      </c>
      <c r="CK147" s="17">
        <f t="shared" si="157"/>
        <v>12.500000000000004</v>
      </c>
      <c r="CL147" s="17">
        <f t="shared" si="158"/>
        <v>16.640000000000004</v>
      </c>
      <c r="CM147" s="38">
        <f t="shared" si="173"/>
        <v>20.69</v>
      </c>
      <c r="CN147" s="17">
        <f t="shared" si="159"/>
        <v>24.830000000000002</v>
      </c>
      <c r="CO147" s="17">
        <f t="shared" si="160"/>
        <v>28.88</v>
      </c>
      <c r="CP147" s="17">
        <f t="shared" si="161"/>
        <v>33.019999999999996</v>
      </c>
      <c r="CQ147" s="2" cm="1">
        <f t="array" aca="1" ref="CQ147" ca="1">MAX(_xlfn._xlws.FILTER(CJ147:CP147,CJ147:CP147&lt;BL147))</f>
        <v>16.640000000000004</v>
      </c>
      <c r="CR147" s="2" cm="1">
        <f t="array" aca="1" ref="CR147" ca="1">MIN(_xlfn._xlws.FILTER($CJ147:$CP147,$CJ147:$CP147&gt;BL147))</f>
        <v>20.69</v>
      </c>
      <c r="CS147" s="16">
        <f t="shared" ref="CS147:CS178" ca="1" si="175">(CR147/CQ147)-1</f>
        <v>0.24338942307692291</v>
      </c>
      <c r="CT147" s="20">
        <f t="shared" ref="CT147:CT178" ca="1" si="176">-$CS147/2</f>
        <v>-0.12169471153846145</v>
      </c>
      <c r="CU147" s="20">
        <f t="shared" ref="CU147:CU178" ca="1" si="177">-$CS147/3</f>
        <v>-8.112980769230764E-2</v>
      </c>
      <c r="CV147" s="20">
        <f t="shared" ref="CV147:CV178" ca="1" si="178">-$CS147/5</f>
        <v>-4.8677884615384581E-2</v>
      </c>
      <c r="CW147" s="20">
        <f t="shared" ref="CW147:CW178" ca="1" si="179">-$CS147/9</f>
        <v>-2.7043269230769211E-2</v>
      </c>
      <c r="CX147" s="20">
        <f t="shared" ref="CX147:CX178" ca="1" si="180">-$CS147/17</f>
        <v>-1.4317024886877819E-2</v>
      </c>
      <c r="CY147" s="20">
        <f t="shared" ref="CY147:CY178" ca="1" si="181">-$CS147/33</f>
        <v>-7.3754370629370578E-3</v>
      </c>
      <c r="CZ147" s="20">
        <f t="shared" ref="CZ147:CZ178" ca="1" si="182">-$CS147/65</f>
        <v>-3.7444526627218909E-3</v>
      </c>
      <c r="DA147" s="21">
        <f t="shared" ref="DA147:DA178" ca="1" si="183">-$CS147/65*-1</f>
        <v>3.7444526627218909E-3</v>
      </c>
      <c r="DB147" s="21">
        <f t="shared" ref="DB147:DB178" ca="1" si="184">-$CS147/33*-1</f>
        <v>7.3754370629370578E-3</v>
      </c>
      <c r="DC147" s="21">
        <f t="shared" ref="DC147:DC178" ca="1" si="185">-$CS147/17*-1</f>
        <v>1.4317024886877819E-2</v>
      </c>
      <c r="DD147" s="21">
        <f t="shared" ref="DD147:DD178" ca="1" si="186">-$CS147/9*-1</f>
        <v>2.7043269230769211E-2</v>
      </c>
      <c r="DE147" s="21">
        <f t="shared" ref="DE147:DE178" ca="1" si="187">-$CS147/5*-1</f>
        <v>4.8677884615384581E-2</v>
      </c>
      <c r="DF147" s="21">
        <f t="shared" ref="DF147:DF178" ca="1" si="188">-$CS147/3*-1</f>
        <v>8.112980769230764E-2</v>
      </c>
      <c r="DG147" s="21">
        <f t="shared" ref="DG147:DG178" ca="1" si="189">-$CS147/2*-1</f>
        <v>0.12169471153846145</v>
      </c>
      <c r="DI147" s="16" cm="1">
        <f t="array" aca="1" ref="DI147" ca="1">MAX(_xlfn._xlws.FILTER(CT147:DG147,CT147:DG147&lt;BR147))</f>
        <v>-7.3754370629370578E-3</v>
      </c>
      <c r="DJ147" s="16" cm="1">
        <f t="array" aca="1" ref="DJ147" ca="1">MIN(_xlfn._xlws.FILTER(CT147:DG147,CT147:DG147&gt;BR147))</f>
        <v>-3.7444526627218909E-3</v>
      </c>
      <c r="DK147" s="2" cm="1">
        <f t="array" aca="1" ref="DK147" ca="1">_FV(EC147,"Fechamento anterior",TRUE)</f>
        <v>20.18</v>
      </c>
      <c r="DL147" s="28">
        <f t="shared" ca="1" si="162"/>
        <v>0.80297117608192714</v>
      </c>
      <c r="DM147" s="15">
        <f t="shared" ref="DM147:DM178" ca="1" si="190">DK147+(DK147*DI147)</f>
        <v>20.03116368006993</v>
      </c>
      <c r="DN147" s="15">
        <f t="shared" ref="DN147:DN178" ca="1" si="191">DK147+(DK147*DJ147)</f>
        <v>20.104436945266272</v>
      </c>
      <c r="DO147" s="9"/>
      <c r="DP147" s="9"/>
      <c r="DQ147" s="9"/>
      <c r="DR147" s="89">
        <v>6.9696933382865714E-3</v>
      </c>
      <c r="DS147" s="89">
        <v>2.9755045556399957E-3</v>
      </c>
      <c r="DT147" s="89">
        <v>2.9851250730902738E-3</v>
      </c>
      <c r="DU147" s="89">
        <v>3.6309844002151669E-3</v>
      </c>
      <c r="DV147" s="89">
        <f t="shared" ca="1" si="163"/>
        <v>3.6309844002151669E-3</v>
      </c>
      <c r="DW147" s="72">
        <f t="shared" ca="1" si="164"/>
        <v>-0.4652308255841186</v>
      </c>
      <c r="DX147" s="37"/>
      <c r="DY147" s="35">
        <f t="shared" si="174"/>
        <v>0.42666992186258212</v>
      </c>
      <c r="DZ147" s="56"/>
      <c r="EA147" s="56"/>
      <c r="EC147" s="2" t="e" vm="147">
        <v>#VALUE!</v>
      </c>
      <c r="EE147" s="10" cm="1">
        <f t="array" aca="1" ref="EE147" ca="1">_FV(EC147,"Ações em circulação",TRUE)</f>
        <v>87859150</v>
      </c>
      <c r="EF147" s="18">
        <f>VLOOKUP(BM147,Fundamentus!A:U,5,FALSE)</f>
        <v>8.2330000000000005</v>
      </c>
      <c r="EG147" s="2">
        <f t="shared" ca="1" si="165"/>
        <v>214392119.94412729</v>
      </c>
      <c r="EH147" s="17">
        <v>363844866.75717843</v>
      </c>
      <c r="EI147" s="17">
        <f t="shared" ca="1" si="166"/>
        <v>363844866.75717843</v>
      </c>
      <c r="EK147" s="16">
        <f t="shared" ca="1" si="153"/>
        <v>0</v>
      </c>
      <c r="EL147" s="32" t="str">
        <f>IF(VLOOKUP(BM147,Fundamentus!A:U,3,FALSE)&lt;15,"Bom",IF(VLOOKUP(BM147,Fundamentus!A:U,3,FALSE)&gt;15,"Ruim","n/a"))</f>
        <v>Bom</v>
      </c>
      <c r="EM147" s="28" t="str">
        <f>IF(VLOOKUP(BM147,Fundamentus!A:U,4,FALSE)&lt;1,"Baixo",IF(VLOOKUP(BM147,Fundamentus!A:U,4,FALSE)&lt;1.5,"Moderado",IF(VLOOKUP(BM147,Fundamentus!A:U,4,FALSE)&gt;1.5,"Alto","n/a")))</f>
        <v>Baixo</v>
      </c>
      <c r="EN147" s="17" t="str">
        <f>IF(VLOOKUP(BM147,Fundamentus!A:U,8,FALSE)&lt;0,"Risco elevado",IF(VLOOKUP(BM147,Fundamentus!A:U,8,FALSE)&lt;1,"Saudável",IF(VLOOKUP(BM147,Fundamentus!A:U,8,FALSE)&lt;3,"Estável",IF(VLOOKUP(BM147,Fundamentus!A:U,8,FALSE)&gt;3,"Alerta","n/a"))))</f>
        <v>Alerta</v>
      </c>
      <c r="EO147" s="28" t="str">
        <f t="shared" si="167"/>
        <v>Bom</v>
      </c>
      <c r="EP147" s="17" t="str">
        <f>IF(VLOOKUP(BM147,Fundamentus!A:U,12,FALSE)&lt;2,"Subvalorizada",IF(VLOOKUP(BM147,Fundamentus!A:U,12,FALSE)&lt;6,"Muita barata",IF(VLOOKUP(BM147,Fundamentus!A:U,12,FALSE)&lt;6,"Barata",IF(VLOOKUP(BM147,Fundamentus!A:U,12,FALSE)&lt;8,"Atrativa",IF(VLOOKUP(BM147,Fundamentus!A:U,12,FALSE)&gt;8,"Supervalorizada","n/a")))))</f>
        <v>Supervalorizada</v>
      </c>
      <c r="ER147" s="17" t="str">
        <f>IF(VLOOKUP(BM147,Fundamentus!A:U,17,FALSE)&lt;0.1,"Fraco retorno",IF(VLOOKUP(BM147,Fundamentus!A:U,17,FALSE)&gt;0.1,"Bom retorno","n/a"))</f>
        <v>Bom retorno</v>
      </c>
      <c r="ES147" s="17" t="str">
        <f>IF(VLOOKUP(BM147,Fundamentus!A:U,16,FALSE)&lt;0.1,"Ineficiente",IF(VLOOKUP(BM147,Fundamentus!A:U,16,FALSE)&gt;0.1,"Eficiente","n/a"))</f>
        <v>Ineficiente</v>
      </c>
      <c r="ET147" s="33" t="str">
        <f>IF(VLOOKUP(BM147,Fundamentus!A:U,16,FALSE)&lt;0.1,"Oper. Ineficiente",IF(VLOOKUP(BM147,Fundamentus!A:U,16,FALSE)&gt;0.1,"Oper.Eficiente","n/a"))</f>
        <v>Oper. Ineficiente</v>
      </c>
      <c r="EU147" s="34">
        <f>VLOOKUP(BM147,Fundamentus!A:U,14,FALSE)</f>
        <v>1.6971000000000001</v>
      </c>
      <c r="EV147" s="17" t="str">
        <f>IF(VLOOKUP(BM147,Fundamentus!A:U,21,FALSE)&lt;0,"Negativo",IF(VLOOKUP(BM147,Fundamentus!A:U,21,FALSE)&lt;0.05,"Fraco",IF(VLOOKUP(BM147,Fundamentus!A:U,21,FALSE)&lt;0.1,"Bom",IF(VLOOKUP(BM147,Fundamentus!A:U,21,FALSE)&gt;0.1,"Muito bom","n/a"))))</f>
        <v>Muito bom</v>
      </c>
      <c r="EX147" s="29" t="str">
        <f>IF(VLOOKUP(BM147,Fundamentus!A:U,15,FALSE)&gt;1,"Bom",IF(VLOOKUP(BM147,Fundamentus!A:U,15,FALSE)&lt;1,"Ruim","n/a"))</f>
        <v>Bom</v>
      </c>
      <c r="EY147" s="17" t="str">
        <f>IF(VLOOKUP(BM147,Fundamentus!A:U,20,FALSE)&lt;0.5,"Baixa",IF(VLOOKUP(BM147,Fundamentus!A:U,20,FALSE)&lt;1,"Moderada",IF(VLOOKUP(BM147,Fundamentus!A:U,20,FALSE)&lt;2,"Alerta",IF(VLOOKUP(BM147,Fundamentus!A:U,20,FALSE)&gt;2,"Alta","n/a"))))</f>
        <v>Moderada</v>
      </c>
      <c r="EZ147" s="10"/>
    </row>
    <row r="148" spans="1:156" s="2" customFormat="1" ht="11.25" x14ac:dyDescent="0.2">
      <c r="A148" s="4">
        <v>1.7</v>
      </c>
      <c r="B148" s="4">
        <v>1.66</v>
      </c>
      <c r="C148" s="4">
        <v>1.62</v>
      </c>
      <c r="D148" s="4">
        <v>1.65</v>
      </c>
      <c r="E148" s="4">
        <v>1.64</v>
      </c>
      <c r="F148" s="4">
        <v>1.67</v>
      </c>
      <c r="G148" s="4">
        <v>1.74</v>
      </c>
      <c r="H148" s="4">
        <v>1.39</v>
      </c>
      <c r="I148" s="4">
        <v>1.41</v>
      </c>
      <c r="J148" s="4">
        <v>1.77</v>
      </c>
      <c r="K148" s="4">
        <v>1.85</v>
      </c>
      <c r="L148" s="4">
        <v>1.62</v>
      </c>
      <c r="M148" s="4">
        <v>1.57</v>
      </c>
      <c r="N148" s="4">
        <v>1.53</v>
      </c>
      <c r="O148" s="4">
        <v>1.64</v>
      </c>
      <c r="P148" s="4">
        <v>1.59</v>
      </c>
      <c r="Q148" s="4">
        <v>1.98</v>
      </c>
      <c r="R148" s="4">
        <v>2.27</v>
      </c>
      <c r="S148" s="4">
        <v>2.14</v>
      </c>
      <c r="T148" s="4">
        <v>2.15</v>
      </c>
      <c r="U148" s="4">
        <v>1.87</v>
      </c>
      <c r="V148" s="4">
        <v>2.31</v>
      </c>
      <c r="W148" s="4">
        <v>2.0499999999999998</v>
      </c>
      <c r="X148" s="4">
        <v>2.21</v>
      </c>
      <c r="Y148" s="4">
        <v>2.14</v>
      </c>
      <c r="Z148" s="4">
        <v>2.13</v>
      </c>
      <c r="AA148" s="4">
        <v>2.31</v>
      </c>
      <c r="AB148" s="4">
        <v>2.2799999999999998</v>
      </c>
      <c r="AC148" s="4">
        <v>2.27</v>
      </c>
      <c r="AD148" s="4">
        <v>2.2999999999999998</v>
      </c>
      <c r="AE148" s="4">
        <v>2.15</v>
      </c>
      <c r="AF148" s="4">
        <v>2.2999999999999998</v>
      </c>
      <c r="AG148" s="4">
        <v>2.11</v>
      </c>
      <c r="AH148" s="4">
        <v>1.57</v>
      </c>
      <c r="AI148" s="4">
        <v>1.54</v>
      </c>
      <c r="AJ148" s="4">
        <v>1.5</v>
      </c>
      <c r="AK148" s="4">
        <v>1.5</v>
      </c>
      <c r="AL148" s="4">
        <v>1.6</v>
      </c>
      <c r="AM148" s="4">
        <v>1.68</v>
      </c>
      <c r="AN148" s="4">
        <v>1.94</v>
      </c>
      <c r="AO148" s="4">
        <v>1.76</v>
      </c>
      <c r="AP148" s="4">
        <v>1.97</v>
      </c>
      <c r="AQ148" s="4">
        <v>2.0299999999999998</v>
      </c>
      <c r="AR148" s="4">
        <v>1.78</v>
      </c>
      <c r="AS148" s="4">
        <v>1.87</v>
      </c>
      <c r="AT148" s="4">
        <v>1.74</v>
      </c>
      <c r="AU148" s="4">
        <v>1.8149999999999999</v>
      </c>
      <c r="AV148" s="4">
        <v>1.91</v>
      </c>
      <c r="AW148" s="4">
        <v>1.81</v>
      </c>
      <c r="AX148" s="4">
        <v>2.0099999999999998</v>
      </c>
      <c r="AY148" s="12">
        <v>2.1</v>
      </c>
      <c r="AZ148" s="12">
        <v>2.23</v>
      </c>
      <c r="BA148" s="12">
        <v>2.06</v>
      </c>
      <c r="BB148" s="15">
        <v>2.0699999999999998</v>
      </c>
      <c r="BC148" s="52">
        <v>2.2400000000000002</v>
      </c>
      <c r="BD148" s="52">
        <v>2.19</v>
      </c>
      <c r="BE148" s="52">
        <v>2.13</v>
      </c>
      <c r="BF148" s="52">
        <v>2.1</v>
      </c>
      <c r="BG148" s="67">
        <v>1.91</v>
      </c>
      <c r="BH148" s="52">
        <v>1.77</v>
      </c>
      <c r="BI148" s="52">
        <v>1.83</v>
      </c>
      <c r="BJ148" s="52">
        <v>1.85</v>
      </c>
      <c r="BK148" s="52">
        <v>1.77</v>
      </c>
      <c r="BL148" s="52" cm="1">
        <f t="array" aca="1" ref="BL148" ca="1">_FV(EC148,"Preço")</f>
        <v>1.77</v>
      </c>
      <c r="BM148" s="69" t="s">
        <v>144</v>
      </c>
      <c r="BN148" s="36" cm="1">
        <f t="array" aca="1" ref="BN148" ca="1">_FV(EC148,"Média de volume",TRUE)</f>
        <v>1163880</v>
      </c>
      <c r="BO148" s="36">
        <v>1719900</v>
      </c>
      <c r="BP148" s="36" cm="1">
        <f t="array" aca="1" ref="BP148" ca="1">_FV(EC148,"Volume")</f>
        <v>1719900</v>
      </c>
      <c r="BQ148" s="24" cm="1">
        <f t="array" aca="1" ref="BQ148" ca="1">_FV(EC148,"Beta")</f>
        <v>1.4140999999999999</v>
      </c>
      <c r="BR148" s="71" cm="1">
        <f t="array" aca="1" ref="BR148" ca="1">_FV(EC148,"Variação (%)",TRUE)</f>
        <v>-2.2099000000000001E-2</v>
      </c>
      <c r="BT148" s="17" cm="1">
        <f t="array" aca="1" ref="BT148" ca="1">_FV(EC148,"Baixo")</f>
        <v>1.75</v>
      </c>
      <c r="BU148" s="17" cm="1">
        <f t="array" aca="1" ref="BU148" ca="1">_FV(EC148,"Alto")</f>
        <v>1.83</v>
      </c>
      <c r="BV148" s="24"/>
      <c r="BW148" s="63">
        <f ca="1">SQRT(22.5*(BL148/VLOOKUP(BM148,Fundamentus!A:U,3,FALSE))*(BL148/VLOOKUP(BM148,Fundamentus!A:U,4,FALSE)))</f>
        <v>1.0795519719065949</v>
      </c>
      <c r="BY148" s="62">
        <f t="shared" ca="1" si="168"/>
        <v>0</v>
      </c>
      <c r="BZ148" s="8"/>
      <c r="CA148" s="61">
        <f t="shared" si="169"/>
        <v>1.39</v>
      </c>
      <c r="CB148" s="61">
        <f t="shared" si="170"/>
        <v>2.31</v>
      </c>
      <c r="CC148" s="61">
        <f t="shared" si="171"/>
        <v>1.8935714285714282</v>
      </c>
      <c r="CD148" s="14"/>
      <c r="CE148" s="35">
        <f t="shared" si="154"/>
        <v>1.5801928059407999</v>
      </c>
      <c r="CF148" s="15">
        <f t="shared" si="172"/>
        <v>1.8059999999999992</v>
      </c>
      <c r="CG148" s="35">
        <f t="shared" si="155"/>
        <v>2.0318071940591986</v>
      </c>
      <c r="CI148" s="14"/>
      <c r="CJ148" s="17">
        <f t="shared" si="156"/>
        <v>0.47000000000000042</v>
      </c>
      <c r="CK148" s="17">
        <f t="shared" si="157"/>
        <v>0.93000000000000016</v>
      </c>
      <c r="CL148" s="17">
        <f t="shared" si="158"/>
        <v>1.3900000000000006</v>
      </c>
      <c r="CM148" s="38">
        <f t="shared" si="173"/>
        <v>1.8500000000000003</v>
      </c>
      <c r="CN148" s="17">
        <f t="shared" si="159"/>
        <v>2.3100000000000005</v>
      </c>
      <c r="CO148" s="17">
        <f t="shared" si="160"/>
        <v>2.7700000000000005</v>
      </c>
      <c r="CP148" s="17">
        <f t="shared" si="161"/>
        <v>3.2300000000000009</v>
      </c>
      <c r="CQ148" s="2" cm="1">
        <f t="array" aca="1" ref="CQ148" ca="1">MAX(_xlfn._xlws.FILTER(CJ148:CP148,CJ148:CP148&lt;BL148))</f>
        <v>1.3900000000000006</v>
      </c>
      <c r="CR148" s="2" cm="1">
        <f t="array" aca="1" ref="CR148" ca="1">MIN(_xlfn._xlws.FILTER($CJ148:$CP148,$CJ148:$CP148&gt;BL148))</f>
        <v>1.8500000000000003</v>
      </c>
      <c r="CS148" s="16">
        <f t="shared" ca="1" si="175"/>
        <v>0.33093525179856087</v>
      </c>
      <c r="CT148" s="20">
        <f t="shared" ca="1" si="176"/>
        <v>-0.16546762589928043</v>
      </c>
      <c r="CU148" s="20">
        <f t="shared" ca="1" si="177"/>
        <v>-0.11031175059952029</v>
      </c>
      <c r="CV148" s="20">
        <f t="shared" ca="1" si="178"/>
        <v>-6.6187050359712174E-2</v>
      </c>
      <c r="CW148" s="20">
        <f t="shared" ca="1" si="179"/>
        <v>-3.6770583533173432E-2</v>
      </c>
      <c r="CX148" s="20">
        <f t="shared" ca="1" si="180"/>
        <v>-1.9466779517562403E-2</v>
      </c>
      <c r="CY148" s="20">
        <f t="shared" ca="1" si="181"/>
        <v>-1.0028340963592754E-2</v>
      </c>
      <c r="CZ148" s="20">
        <f t="shared" ca="1" si="182"/>
        <v>-5.091311566131706E-3</v>
      </c>
      <c r="DA148" s="21">
        <f t="shared" ca="1" si="183"/>
        <v>5.091311566131706E-3</v>
      </c>
      <c r="DB148" s="21">
        <f t="shared" ca="1" si="184"/>
        <v>1.0028340963592754E-2</v>
      </c>
      <c r="DC148" s="21">
        <f t="shared" ca="1" si="185"/>
        <v>1.9466779517562403E-2</v>
      </c>
      <c r="DD148" s="21">
        <f t="shared" ca="1" si="186"/>
        <v>3.6770583533173432E-2</v>
      </c>
      <c r="DE148" s="21">
        <f t="shared" ca="1" si="187"/>
        <v>6.6187050359712174E-2</v>
      </c>
      <c r="DF148" s="21">
        <f t="shared" ca="1" si="188"/>
        <v>0.11031175059952029</v>
      </c>
      <c r="DG148" s="21">
        <f t="shared" ca="1" si="189"/>
        <v>0.16546762589928043</v>
      </c>
      <c r="DI148" s="16" cm="1">
        <f t="array" aca="1" ref="DI148" ca="1">MAX(_xlfn._xlws.FILTER(CT148:DG148,CT148:DG148&lt;BR148))</f>
        <v>-3.6770583533173432E-2</v>
      </c>
      <c r="DJ148" s="16" cm="1">
        <f t="array" aca="1" ref="DJ148" ca="1">MIN(_xlfn._xlws.FILTER(CT148:DG148,CT148:DG148&gt;BR148))</f>
        <v>-1.9466779517562403E-2</v>
      </c>
      <c r="DK148" s="2" cm="1">
        <f t="array" aca="1" ref="DK148" ca="1">_FV(EC148,"Fechamento anterior",TRUE)</f>
        <v>1.81</v>
      </c>
      <c r="DL148" s="28">
        <f t="shared" ca="1" si="162"/>
        <v>0.84785611337977362</v>
      </c>
      <c r="DM148" s="15">
        <f t="shared" ca="1" si="190"/>
        <v>1.7434452438049561</v>
      </c>
      <c r="DN148" s="15">
        <f t="shared" ca="1" si="191"/>
        <v>1.774765129073212</v>
      </c>
      <c r="DO148" s="9"/>
      <c r="DP148" s="9"/>
      <c r="DQ148" s="9"/>
      <c r="DR148" s="89">
        <v>1.1909949164851117E-2</v>
      </c>
      <c r="DS148" s="89">
        <v>2.2816399286987536E-2</v>
      </c>
      <c r="DT148" s="89">
        <v>1.8876877107939304E-2</v>
      </c>
      <c r="DU148" s="89">
        <v>1.7303804015611029E-2</v>
      </c>
      <c r="DV148" s="89">
        <f t="shared" ca="1" si="163"/>
        <v>1.7303804015611029E-2</v>
      </c>
      <c r="DW148" s="72">
        <f t="shared" ca="1" si="164"/>
        <v>-0.15942804723290227</v>
      </c>
      <c r="DX148" s="37"/>
      <c r="DY148" s="35">
        <f t="shared" si="174"/>
        <v>0.11290359702959965</v>
      </c>
      <c r="DZ148" s="56"/>
      <c r="EA148" s="56"/>
      <c r="EC148" s="2" t="e" vm="148">
        <v>#VALUE!</v>
      </c>
      <c r="EE148" s="10" cm="1">
        <f t="array" aca="1" ref="EE148" ca="1">_FV(EC148,"Ações em circulação",TRUE)</f>
        <v>284014300</v>
      </c>
      <c r="EF148" s="18">
        <f>VLOOKUP(BM148,Fundamentus!A:U,5,FALSE)</f>
        <v>0.35</v>
      </c>
      <c r="EG148" s="2">
        <f t="shared" ca="1" si="165"/>
        <v>1436300888.5714288</v>
      </c>
      <c r="EH148" s="17">
        <v>11490407.108571431</v>
      </c>
      <c r="EI148" s="17">
        <f t="shared" ca="1" si="166"/>
        <v>11490407.108571431</v>
      </c>
      <c r="EK148" s="16">
        <f t="shared" ca="1" si="153"/>
        <v>0</v>
      </c>
      <c r="EL148" s="32" t="str">
        <f>IF(VLOOKUP(BM148,Fundamentus!A:U,3,FALSE)&lt;15,"Bom",IF(VLOOKUP(BM148,Fundamentus!A:U,3,FALSE)&gt;15,"Ruim","n/a"))</f>
        <v>Ruim</v>
      </c>
      <c r="EM148" s="28" t="str">
        <f>IF(VLOOKUP(BM148,Fundamentus!A:U,4,FALSE)&lt;1,"Baixo",IF(VLOOKUP(BM148,Fundamentus!A:U,4,FALSE)&lt;1.5,"Moderado",IF(VLOOKUP(BM148,Fundamentus!A:U,4,FALSE)&gt;1.5,"Alto","n/a")))</f>
        <v>Baixo</v>
      </c>
      <c r="EN148" s="17" t="str">
        <f>IF(VLOOKUP(BM148,Fundamentus!A:U,8,FALSE)&lt;0,"Risco elevado",IF(VLOOKUP(BM148,Fundamentus!A:U,8,FALSE)&lt;1,"Saudável",IF(VLOOKUP(BM148,Fundamentus!A:U,8,FALSE)&lt;3,"Estável",IF(VLOOKUP(BM148,Fundamentus!A:U,8,FALSE)&gt;3,"Alerta","n/a"))))</f>
        <v>Alerta</v>
      </c>
      <c r="EO148" s="28" t="str">
        <f t="shared" si="167"/>
        <v>Ruim</v>
      </c>
      <c r="EP148" s="17" t="str">
        <f>IF(VLOOKUP(BM148,Fundamentus!A:U,12,FALSE)&lt;2,"Subvalorizada",IF(VLOOKUP(BM148,Fundamentus!A:U,12,FALSE)&lt;6,"Muita barata",IF(VLOOKUP(BM148,Fundamentus!A:U,12,FALSE)&lt;6,"Barata",IF(VLOOKUP(BM148,Fundamentus!A:U,12,FALSE)&lt;8,"Atrativa",IF(VLOOKUP(BM148,Fundamentus!A:U,12,FALSE)&gt;8,"Supervalorizada","n/a")))))</f>
        <v>Subvalorizada</v>
      </c>
      <c r="ER148" s="17" t="str">
        <f>IF(VLOOKUP(BM148,Fundamentus!A:U,17,FALSE)&lt;0.1,"Fraco retorno",IF(VLOOKUP(BM148,Fundamentus!A:U,17,FALSE)&gt;0.1,"Bom retorno","n/a"))</f>
        <v>Fraco retorno</v>
      </c>
      <c r="ES148" s="17" t="str">
        <f>IF(VLOOKUP(BM148,Fundamentus!A:U,16,FALSE)&lt;0.1,"Ineficiente",IF(VLOOKUP(BM148,Fundamentus!A:U,16,FALSE)&gt;0.1,"Eficiente","n/a"))</f>
        <v>Eficiente</v>
      </c>
      <c r="ET148" s="33" t="str">
        <f>IF(VLOOKUP(BM148,Fundamentus!A:U,16,FALSE)&lt;0.1,"Oper. Ineficiente",IF(VLOOKUP(BM148,Fundamentus!A:U,16,FALSE)&gt;0.1,"Oper.Eficiente","n/a"))</f>
        <v>Oper.Eficiente</v>
      </c>
      <c r="EU148" s="34">
        <f>VLOOKUP(BM148,Fundamentus!A:U,14,FALSE)</f>
        <v>8.0000000000000002E-3</v>
      </c>
      <c r="EV148" s="17" t="str">
        <f>IF(VLOOKUP(BM148,Fundamentus!A:U,21,FALSE)&lt;0,"Negativo",IF(VLOOKUP(BM148,Fundamentus!A:U,21,FALSE)&lt;0.05,"Fraco",IF(VLOOKUP(BM148,Fundamentus!A:U,21,FALSE)&lt;0.1,"Bom",IF(VLOOKUP(BM148,Fundamentus!A:U,21,FALSE)&gt;0.1,"Muito bom","n/a"))))</f>
        <v>Negativo</v>
      </c>
      <c r="EX148" s="29" t="str">
        <f>IF(VLOOKUP(BM148,Fundamentus!A:U,15,FALSE)&gt;1,"Bom",IF(VLOOKUP(BM148,Fundamentus!A:U,15,FALSE)&lt;1,"Ruim","n/a"))</f>
        <v>Bom</v>
      </c>
      <c r="EY148" s="17" t="str">
        <f>IF(VLOOKUP(BM148,Fundamentus!A:U,20,FALSE)&lt;0.5,"Baixa",IF(VLOOKUP(BM148,Fundamentus!A:U,20,FALSE)&lt;1,"Moderada",IF(VLOOKUP(BM148,Fundamentus!A:U,20,FALSE)&lt;2,"Alerta",IF(VLOOKUP(BM148,Fundamentus!A:U,20,FALSE)&gt;2,"Alta","n/a"))))</f>
        <v>Alerta</v>
      </c>
      <c r="EZ148" s="10"/>
    </row>
    <row r="149" spans="1:156" s="2" customFormat="1" ht="11.25" x14ac:dyDescent="0.2">
      <c r="A149" s="4">
        <v>11.51</v>
      </c>
      <c r="B149" s="4">
        <v>10.66</v>
      </c>
      <c r="C149" s="4">
        <v>10.94</v>
      </c>
      <c r="D149" s="4">
        <v>10.46</v>
      </c>
      <c r="E149" s="4">
        <v>10.68</v>
      </c>
      <c r="F149" s="4">
        <v>10.119999999999999</v>
      </c>
      <c r="G149" s="4">
        <v>9.74</v>
      </c>
      <c r="H149" s="4">
        <v>9.68</v>
      </c>
      <c r="I149" s="4">
        <v>9.67</v>
      </c>
      <c r="J149" s="4">
        <v>10.14</v>
      </c>
      <c r="K149" s="4">
        <v>10.24</v>
      </c>
      <c r="L149" s="4">
        <v>9.9</v>
      </c>
      <c r="M149" s="4">
        <v>10.23</v>
      </c>
      <c r="N149" s="4">
        <v>10.210000000000001</v>
      </c>
      <c r="O149" s="4">
        <v>10.78</v>
      </c>
      <c r="P149" s="4">
        <v>11.01</v>
      </c>
      <c r="Q149" s="4">
        <v>10.58</v>
      </c>
      <c r="R149" s="4">
        <v>10.07</v>
      </c>
      <c r="S149" s="4">
        <v>10.06</v>
      </c>
      <c r="T149" s="4">
        <v>10.31</v>
      </c>
      <c r="U149" s="4">
        <v>10.09</v>
      </c>
      <c r="V149" s="4">
        <v>10.16</v>
      </c>
      <c r="W149" s="4">
        <v>10.35</v>
      </c>
      <c r="X149" s="4">
        <v>10.15</v>
      </c>
      <c r="Y149" s="4">
        <v>9.8699999999999992</v>
      </c>
      <c r="Z149" s="4">
        <v>10.050000000000001</v>
      </c>
      <c r="AA149" s="4">
        <v>9.89</v>
      </c>
      <c r="AB149" s="4">
        <v>9.92</v>
      </c>
      <c r="AC149" s="4">
        <v>9.75</v>
      </c>
      <c r="AD149" s="4">
        <v>9.58</v>
      </c>
      <c r="AE149" s="4">
        <v>9.4600000000000009</v>
      </c>
      <c r="AF149" s="4">
        <v>9.4499999999999993</v>
      </c>
      <c r="AG149" s="4">
        <v>9.2100000000000009</v>
      </c>
      <c r="AH149" s="4">
        <v>8.7799999999999994</v>
      </c>
      <c r="AI149" s="4">
        <v>8.6999999999999993</v>
      </c>
      <c r="AJ149" s="4">
        <v>8.4700000000000006</v>
      </c>
      <c r="AK149" s="4">
        <v>8.64</v>
      </c>
      <c r="AL149" s="4">
        <v>8.23</v>
      </c>
      <c r="AM149" s="4">
        <v>8.23</v>
      </c>
      <c r="AN149" s="4">
        <v>8.3000000000000007</v>
      </c>
      <c r="AO149" s="4">
        <v>8.08</v>
      </c>
      <c r="AP149" s="4">
        <v>8.1999999999999993</v>
      </c>
      <c r="AQ149" s="4">
        <v>8.18</v>
      </c>
      <c r="AR149" s="4">
        <v>8.1999999999999993</v>
      </c>
      <c r="AS149" s="4">
        <v>8.1999999999999993</v>
      </c>
      <c r="AT149" s="4">
        <v>8.52</v>
      </c>
      <c r="AU149" s="4">
        <v>8.74</v>
      </c>
      <c r="AV149" s="4">
        <v>8.8699999999999992</v>
      </c>
      <c r="AW149" s="4">
        <v>8.8800000000000008</v>
      </c>
      <c r="AX149" s="4">
        <v>8.7200000000000006</v>
      </c>
      <c r="AY149" s="12">
        <v>8.9</v>
      </c>
      <c r="AZ149" s="12">
        <v>9.0399999999999991</v>
      </c>
      <c r="BA149" s="12">
        <v>9.18</v>
      </c>
      <c r="BB149" s="15">
        <v>9.1999999999999993</v>
      </c>
      <c r="BC149" s="52">
        <v>9</v>
      </c>
      <c r="BD149" s="52">
        <v>8.74</v>
      </c>
      <c r="BE149" s="52">
        <v>8.6999999999999993</v>
      </c>
      <c r="BF149" s="52">
        <v>8.4</v>
      </c>
      <c r="BG149" s="67">
        <v>8.18</v>
      </c>
      <c r="BH149" s="52">
        <v>8.9600000000000009</v>
      </c>
      <c r="BI149" s="52">
        <v>9.52</v>
      </c>
      <c r="BJ149" s="52">
        <v>9.5399999999999991</v>
      </c>
      <c r="BK149" s="52">
        <v>9.34</v>
      </c>
      <c r="BL149" s="52" cm="1">
        <f t="array" aca="1" ref="BL149" ca="1">_FV(EC149,"Preço")</f>
        <v>9.34</v>
      </c>
      <c r="BM149" s="66" t="s">
        <v>145</v>
      </c>
      <c r="BN149" s="36" cm="1">
        <f t="array" aca="1" ref="BN149" ca="1">_FV(EC149,"Média de volume",TRUE)</f>
        <v>339020</v>
      </c>
      <c r="BO149" s="36">
        <v>235900</v>
      </c>
      <c r="BP149" s="36" cm="1">
        <f t="array" aca="1" ref="BP149" ca="1">_FV(EC149,"Volume")</f>
        <v>235900</v>
      </c>
      <c r="BQ149" s="24" cm="1">
        <f t="array" aca="1" ref="BQ149" ca="1">_FV(EC149,"Beta")</f>
        <v>1.1869000000000001</v>
      </c>
      <c r="BR149" s="71" cm="1">
        <f t="array" aca="1" ref="BR149" ca="1">_FV(EC149,"Variação (%)",TRUE)</f>
        <v>-8.4930000000000005E-3</v>
      </c>
      <c r="BT149" s="17" cm="1">
        <f t="array" aca="1" ref="BT149" ca="1">_FV(EC149,"Baixo")</f>
        <v>9.2799999999999994</v>
      </c>
      <c r="BU149" s="17" cm="1">
        <f t="array" aca="1" ref="BU149" ca="1">_FV(EC149,"Alto")</f>
        <v>9.48</v>
      </c>
      <c r="BV149" s="24"/>
      <c r="BW149" s="63">
        <f ca="1">SQRT(22.5*(BL149/VLOOKUP(BM149,Fundamentus!A:U,3,FALSE))*(BL149/VLOOKUP(BM149,Fundamentus!A:U,4,FALSE)))</f>
        <v>12.529070780631367</v>
      </c>
      <c r="BY149" s="62">
        <f t="shared" ca="1" si="168"/>
        <v>0</v>
      </c>
      <c r="BZ149" s="8"/>
      <c r="CA149" s="61">
        <f t="shared" si="169"/>
        <v>8.08</v>
      </c>
      <c r="CB149" s="61">
        <f t="shared" si="170"/>
        <v>11.51</v>
      </c>
      <c r="CC149" s="61">
        <f t="shared" si="171"/>
        <v>9.4533333333333331</v>
      </c>
      <c r="CD149" s="14"/>
      <c r="CE149" s="35">
        <f t="shared" si="154"/>
        <v>8.32998002515561</v>
      </c>
      <c r="CF149" s="15">
        <f t="shared" si="172"/>
        <v>9.3980000000000246</v>
      </c>
      <c r="CG149" s="35">
        <f t="shared" si="155"/>
        <v>10.466019974844439</v>
      </c>
      <c r="CI149" s="14"/>
      <c r="CJ149" s="17">
        <f t="shared" si="156"/>
        <v>4.4799999999999986</v>
      </c>
      <c r="CK149" s="17">
        <f t="shared" si="157"/>
        <v>6.2799999999999994</v>
      </c>
      <c r="CL149" s="17">
        <f t="shared" si="158"/>
        <v>7.9099999999999984</v>
      </c>
      <c r="CM149" s="38">
        <f t="shared" si="173"/>
        <v>9.7099999999999991</v>
      </c>
      <c r="CN149" s="17">
        <f t="shared" si="159"/>
        <v>11.339999999999998</v>
      </c>
      <c r="CO149" s="17">
        <f t="shared" si="160"/>
        <v>13.139999999999999</v>
      </c>
      <c r="CP149" s="17">
        <f t="shared" si="161"/>
        <v>14.769999999999998</v>
      </c>
      <c r="CQ149" s="2" cm="1">
        <f t="array" aca="1" ref="CQ149" ca="1">MAX(_xlfn._xlws.FILTER(CJ149:CP149,CJ149:CP149&lt;BL149))</f>
        <v>7.9099999999999984</v>
      </c>
      <c r="CR149" s="2" cm="1">
        <f t="array" aca="1" ref="CR149" ca="1">MIN(_xlfn._xlws.FILTER($CJ149:$CP149,$CJ149:$CP149&gt;BL149))</f>
        <v>9.7099999999999991</v>
      </c>
      <c r="CS149" s="16">
        <f t="shared" ca="1" si="175"/>
        <v>0.22756005056890016</v>
      </c>
      <c r="CT149" s="20">
        <f t="shared" ca="1" si="176"/>
        <v>-0.11378002528445008</v>
      </c>
      <c r="CU149" s="20">
        <f t="shared" ca="1" si="177"/>
        <v>-7.5853350189633392E-2</v>
      </c>
      <c r="CV149" s="20">
        <f t="shared" ca="1" si="178"/>
        <v>-4.5512010113780033E-2</v>
      </c>
      <c r="CW149" s="20">
        <f t="shared" ca="1" si="179"/>
        <v>-2.5284450063211131E-2</v>
      </c>
      <c r="CX149" s="20">
        <f t="shared" ca="1" si="180"/>
        <v>-1.3385885327582362E-2</v>
      </c>
      <c r="CY149" s="20">
        <f t="shared" ca="1" si="181"/>
        <v>-6.8957591081484897E-3</v>
      </c>
      <c r="CZ149" s="20">
        <f t="shared" ca="1" si="182"/>
        <v>-3.5009238549061563E-3</v>
      </c>
      <c r="DA149" s="21">
        <f t="shared" ca="1" si="183"/>
        <v>3.5009238549061563E-3</v>
      </c>
      <c r="DB149" s="21">
        <f t="shared" ca="1" si="184"/>
        <v>6.8957591081484897E-3</v>
      </c>
      <c r="DC149" s="21">
        <f t="shared" ca="1" si="185"/>
        <v>1.3385885327582362E-2</v>
      </c>
      <c r="DD149" s="21">
        <f t="shared" ca="1" si="186"/>
        <v>2.5284450063211131E-2</v>
      </c>
      <c r="DE149" s="21">
        <f t="shared" ca="1" si="187"/>
        <v>4.5512010113780033E-2</v>
      </c>
      <c r="DF149" s="21">
        <f t="shared" ca="1" si="188"/>
        <v>7.5853350189633392E-2</v>
      </c>
      <c r="DG149" s="21">
        <f t="shared" ca="1" si="189"/>
        <v>0.11378002528445008</v>
      </c>
      <c r="DI149" s="16" cm="1">
        <f t="array" aca="1" ref="DI149" ca="1">MAX(_xlfn._xlws.FILTER(CT149:DG149,CT149:DG149&lt;BR149))</f>
        <v>-1.3385885327582362E-2</v>
      </c>
      <c r="DJ149" s="16" cm="1">
        <f t="array" aca="1" ref="DJ149" ca="1">MIN(_xlfn._xlws.FILTER(CT149:DG149,CT149:DG149&gt;BR149))</f>
        <v>-6.8957591081484897E-3</v>
      </c>
      <c r="DK149" s="2" cm="1">
        <f t="array" aca="1" ref="DK149" ca="1">_FV(EC149,"Fechamento anterior",TRUE)</f>
        <v>9.42</v>
      </c>
      <c r="DL149" s="28">
        <f t="shared" ca="1" si="162"/>
        <v>0.75396319886764518</v>
      </c>
      <c r="DM149" s="15">
        <f t="shared" ca="1" si="190"/>
        <v>9.2939049602141743</v>
      </c>
      <c r="DN149" s="15">
        <f t="shared" ca="1" si="191"/>
        <v>9.355041949201242</v>
      </c>
      <c r="DO149" s="9"/>
      <c r="DP149" s="9"/>
      <c r="DQ149" s="9"/>
      <c r="DR149" s="89">
        <v>4.9178436492227952E-3</v>
      </c>
      <c r="DS149" s="89">
        <v>9.1765147060944591E-3</v>
      </c>
      <c r="DT149" s="89">
        <v>7.0018477098123125E-3</v>
      </c>
      <c r="DU149" s="89">
        <v>6.4901262194338727E-3</v>
      </c>
      <c r="DV149" s="89">
        <f t="shared" ca="1" si="163"/>
        <v>6.4901262194338727E-3</v>
      </c>
      <c r="DW149" s="72">
        <f t="shared" ca="1" si="164"/>
        <v>-5.4306100415840948E-2</v>
      </c>
      <c r="DX149" s="37"/>
      <c r="DY149" s="35">
        <f t="shared" si="174"/>
        <v>0.53400998742220773</v>
      </c>
      <c r="DZ149" s="56"/>
      <c r="EA149" s="56"/>
      <c r="EC149" s="2" t="e" vm="149">
        <v>#VALUE!</v>
      </c>
      <c r="EE149" s="10" cm="1">
        <f t="array" aca="1" ref="EE149" ca="1">_FV(EC149,"Ações em circulação",TRUE)</f>
        <v>150377500</v>
      </c>
      <c r="EF149" s="18">
        <f>VLOOKUP(BM149,Fundamentus!A:U,5,FALSE)</f>
        <v>0.247</v>
      </c>
      <c r="EG149" s="2">
        <f t="shared" ca="1" si="165"/>
        <v>5686339473.6842108</v>
      </c>
      <c r="EH149" s="17">
        <v>111452253.68421052</v>
      </c>
      <c r="EI149" s="17">
        <f t="shared" ca="1" si="166"/>
        <v>111452253.68421052</v>
      </c>
      <c r="EK149" s="16">
        <f t="shared" ca="1" si="153"/>
        <v>0</v>
      </c>
      <c r="EL149" s="32" t="str">
        <f>IF(VLOOKUP(BM149,Fundamentus!A:U,3,FALSE)&lt;15,"Bom",IF(VLOOKUP(BM149,Fundamentus!A:U,3,FALSE)&gt;15,"Ruim","n/a"))</f>
        <v>Bom</v>
      </c>
      <c r="EM149" s="28" t="str">
        <f>IF(VLOOKUP(BM149,Fundamentus!A:U,4,FALSE)&lt;1,"Baixo",IF(VLOOKUP(BM149,Fundamentus!A:U,4,FALSE)&lt;1.5,"Moderado",IF(VLOOKUP(BM149,Fundamentus!A:U,4,FALSE)&gt;1.5,"Alto","n/a")))</f>
        <v>Baixo</v>
      </c>
      <c r="EN149" s="17" t="str">
        <f>IF(VLOOKUP(BM149,Fundamentus!A:U,8,FALSE)&lt;0,"Risco elevado",IF(VLOOKUP(BM149,Fundamentus!A:U,8,FALSE)&lt;1,"Saudável",IF(VLOOKUP(BM149,Fundamentus!A:U,8,FALSE)&lt;3,"Estável",IF(VLOOKUP(BM149,Fundamentus!A:U,8,FALSE)&gt;3,"Alerta","n/a"))))</f>
        <v>Estável</v>
      </c>
      <c r="EO149" s="28" t="str">
        <f t="shared" si="167"/>
        <v>Ruim</v>
      </c>
      <c r="EP149" s="17" t="str">
        <f>IF(VLOOKUP(BM149,Fundamentus!A:U,12,FALSE)&lt;2,"Subvalorizada",IF(VLOOKUP(BM149,Fundamentus!A:U,12,FALSE)&lt;6,"Muita barata",IF(VLOOKUP(BM149,Fundamentus!A:U,12,FALSE)&lt;6,"Barata",IF(VLOOKUP(BM149,Fundamentus!A:U,12,FALSE)&lt;8,"Atrativa",IF(VLOOKUP(BM149,Fundamentus!A:U,12,FALSE)&gt;8,"Supervalorizada","n/a")))))</f>
        <v>Muita barata</v>
      </c>
      <c r="ER149" s="17" t="str">
        <f>IF(VLOOKUP(BM149,Fundamentus!A:U,17,FALSE)&lt;0.1,"Fraco retorno",IF(VLOOKUP(BM149,Fundamentus!A:U,17,FALSE)&gt;0.1,"Bom retorno","n/a"))</f>
        <v>Fraco retorno</v>
      </c>
      <c r="ES149" s="17" t="str">
        <f>IF(VLOOKUP(BM149,Fundamentus!A:U,16,FALSE)&lt;0.1,"Ineficiente",IF(VLOOKUP(BM149,Fundamentus!A:U,16,FALSE)&gt;0.1,"Eficiente","n/a"))</f>
        <v>Ineficiente</v>
      </c>
      <c r="ET149" s="33" t="str">
        <f>IF(VLOOKUP(BM149,Fundamentus!A:U,16,FALSE)&lt;0.1,"Oper. Ineficiente",IF(VLOOKUP(BM149,Fundamentus!A:U,16,FALSE)&gt;0.1,"Oper.Eficiente","n/a"))</f>
        <v>Oper. Ineficiente</v>
      </c>
      <c r="EU149" s="34">
        <f>VLOOKUP(BM149,Fundamentus!A:U,14,FALSE)</f>
        <v>1.9599999999999999E-2</v>
      </c>
      <c r="EV149" s="17" t="str">
        <f>IF(VLOOKUP(BM149,Fundamentus!A:U,21,FALSE)&lt;0,"Negativo",IF(VLOOKUP(BM149,Fundamentus!A:U,21,FALSE)&lt;0.05,"Fraco",IF(VLOOKUP(BM149,Fundamentus!A:U,21,FALSE)&lt;0.1,"Bom",IF(VLOOKUP(BM149,Fundamentus!A:U,21,FALSE)&gt;0.1,"Muito bom","n/a"))))</f>
        <v>Muito bom</v>
      </c>
      <c r="EX149" s="29" t="str">
        <f>IF(VLOOKUP(BM149,Fundamentus!A:U,15,FALSE)&gt;1,"Bom",IF(VLOOKUP(BM149,Fundamentus!A:U,15,FALSE)&lt;1,"Ruim","n/a"))</f>
        <v>Bom</v>
      </c>
      <c r="EY149" s="17" t="str">
        <f>IF(VLOOKUP(BM149,Fundamentus!A:U,20,FALSE)&lt;0.5,"Baixa",IF(VLOOKUP(BM149,Fundamentus!A:U,20,FALSE)&lt;1,"Moderada",IF(VLOOKUP(BM149,Fundamentus!A:U,20,FALSE)&lt;2,"Alerta",IF(VLOOKUP(BM149,Fundamentus!A:U,20,FALSE)&gt;2,"Alta","n/a"))))</f>
        <v>Moderada</v>
      </c>
      <c r="EZ149" s="10"/>
    </row>
    <row r="150" spans="1:156" s="2" customFormat="1" ht="11.25" x14ac:dyDescent="0.2">
      <c r="A150" s="4">
        <v>8</v>
      </c>
      <c r="B150" s="4">
        <v>7.88</v>
      </c>
      <c r="C150" s="4">
        <v>7</v>
      </c>
      <c r="D150" s="4">
        <v>7.1</v>
      </c>
      <c r="E150" s="4">
        <v>7.4</v>
      </c>
      <c r="F150" s="4">
        <v>9.07</v>
      </c>
      <c r="G150" s="4">
        <v>7.08</v>
      </c>
      <c r="H150" s="4">
        <v>7.3</v>
      </c>
      <c r="I150" s="4">
        <v>7.25</v>
      </c>
      <c r="J150" s="4">
        <v>7.83</v>
      </c>
      <c r="K150" s="4">
        <v>7.38</v>
      </c>
      <c r="L150" s="4">
        <v>7.34</v>
      </c>
      <c r="M150" s="4">
        <v>8.4</v>
      </c>
      <c r="N150" s="4">
        <v>7.94</v>
      </c>
      <c r="O150" s="4">
        <v>7.73</v>
      </c>
      <c r="P150" s="4">
        <v>7.76</v>
      </c>
      <c r="Q150" s="4">
        <v>7.27</v>
      </c>
      <c r="R150" s="4">
        <v>8.57</v>
      </c>
      <c r="S150" s="4">
        <v>8.6</v>
      </c>
      <c r="T150" s="4">
        <v>8.33</v>
      </c>
      <c r="U150" s="4">
        <v>7.94</v>
      </c>
      <c r="V150" s="4">
        <v>8.77</v>
      </c>
      <c r="W150" s="4">
        <v>9.5500000000000007</v>
      </c>
      <c r="X150" s="4">
        <v>9.5399999999999991</v>
      </c>
      <c r="Y150" s="4">
        <v>9.43</v>
      </c>
      <c r="Z150" s="4">
        <v>9.43</v>
      </c>
      <c r="AA150" s="4">
        <v>9.5500000000000007</v>
      </c>
      <c r="AB150" s="4">
        <v>9.77</v>
      </c>
      <c r="AC150" s="4">
        <v>9.84</v>
      </c>
      <c r="AD150" s="4">
        <v>9.7799999999999994</v>
      </c>
      <c r="AE150" s="4">
        <v>9.76</v>
      </c>
      <c r="AF150" s="4">
        <v>9.83</v>
      </c>
      <c r="AG150" s="4">
        <v>9.92</v>
      </c>
      <c r="AH150" s="4">
        <v>9.82</v>
      </c>
      <c r="AI150" s="4">
        <v>9.82</v>
      </c>
      <c r="AJ150" s="4">
        <v>9.8000000000000007</v>
      </c>
      <c r="AK150" s="4">
        <v>9.91</v>
      </c>
      <c r="AL150" s="4">
        <v>10.08</v>
      </c>
      <c r="AM150" s="4">
        <v>10.119999999999999</v>
      </c>
      <c r="AN150" s="4">
        <v>10.14</v>
      </c>
      <c r="AO150" s="4">
        <v>10.18</v>
      </c>
      <c r="AP150" s="4">
        <v>10.25</v>
      </c>
      <c r="AQ150" s="4">
        <v>10.36</v>
      </c>
      <c r="AR150" s="4">
        <v>10.38</v>
      </c>
      <c r="AS150" s="4">
        <v>10.4</v>
      </c>
      <c r="AT150" s="4">
        <v>10.41</v>
      </c>
      <c r="AU150" s="4">
        <v>10.445</v>
      </c>
      <c r="AV150" s="4">
        <v>10.47</v>
      </c>
      <c r="AW150" s="4">
        <v>10.51</v>
      </c>
      <c r="AX150" s="4">
        <v>10.51</v>
      </c>
      <c r="AY150" s="12">
        <v>10.51</v>
      </c>
      <c r="AZ150" s="12">
        <v>10.51</v>
      </c>
      <c r="BA150" s="12">
        <v>10.51</v>
      </c>
      <c r="BB150" s="15">
        <v>9.9600000000000009</v>
      </c>
      <c r="BC150" s="52">
        <v>10.59</v>
      </c>
      <c r="BD150" s="52">
        <v>10.61</v>
      </c>
      <c r="BE150" s="52">
        <v>10.74</v>
      </c>
      <c r="BF150" s="52">
        <v>10.74</v>
      </c>
      <c r="BG150" s="67">
        <v>10.77</v>
      </c>
      <c r="BH150" s="52">
        <v>10.8</v>
      </c>
      <c r="BI150" s="52">
        <v>11</v>
      </c>
      <c r="BJ150" s="52">
        <v>11.34</v>
      </c>
      <c r="BK150" s="52">
        <v>11.03</v>
      </c>
      <c r="BL150" s="52" cm="1">
        <f t="array" aca="1" ref="BL150" ca="1">_FV(EC150,"Preço")</f>
        <v>11.03</v>
      </c>
      <c r="BM150" s="69" t="s">
        <v>146</v>
      </c>
      <c r="BN150" s="36" t="e" cm="1" vm="3">
        <f t="array" ref="BN150">_FV(EC150,"Média de volume",TRUE)</f>
        <v>#VALUE!</v>
      </c>
      <c r="BO150" s="36">
        <v>1400</v>
      </c>
      <c r="BP150" s="36" cm="1">
        <f t="array" aca="1" ref="BP150" ca="1">_FV(EC150,"Volume")</f>
        <v>1400</v>
      </c>
      <c r="BQ150" s="24" t="e" cm="1" vm="137">
        <f t="array" ref="BQ150">_FV(EC150,"Beta")</f>
        <v>#VALUE!</v>
      </c>
      <c r="BR150" s="71" cm="1">
        <f t="array" aca="1" ref="BR150" ca="1">_FV(EC150,"Variação (%)",TRUE)</f>
        <v>-2.7336999999999997E-2</v>
      </c>
      <c r="BT150" s="17" cm="1">
        <f t="array" aca="1" ref="BT150" ca="1">_FV(EC150,"Baixo")</f>
        <v>11.03</v>
      </c>
      <c r="BU150" s="17" cm="1">
        <f t="array" aca="1" ref="BU150" ca="1">_FV(EC150,"Alto")</f>
        <v>11.07</v>
      </c>
      <c r="BV150" s="24"/>
      <c r="BW150" s="63" t="e">
        <f ca="1">SQRT(22.5*(BL150/VLOOKUP(BM150,Fundamentus!A:U,3,FALSE))*(BL150/VLOOKUP(BM150,Fundamentus!A:U,4,FALSE)))</f>
        <v>#N/A</v>
      </c>
      <c r="BY150" s="62">
        <f t="shared" ca="1" si="168"/>
        <v>0</v>
      </c>
      <c r="BZ150" s="8"/>
      <c r="CA150" s="61">
        <f t="shared" si="169"/>
        <v>7</v>
      </c>
      <c r="CB150" s="61">
        <f t="shared" si="170"/>
        <v>11.34</v>
      </c>
      <c r="CC150" s="61">
        <f t="shared" si="171"/>
        <v>9.3818253968253966</v>
      </c>
      <c r="CD150" s="14"/>
      <c r="CE150" s="35">
        <f t="shared" si="154"/>
        <v>10.677720179580074</v>
      </c>
      <c r="CF150" s="15">
        <f t="shared" si="172"/>
        <v>11.094000000000051</v>
      </c>
      <c r="CG150" s="35">
        <f t="shared" si="155"/>
        <v>11.510279820420028</v>
      </c>
      <c r="CI150" s="14"/>
      <c r="CJ150" s="17">
        <f t="shared" si="156"/>
        <v>4.1066666666666656</v>
      </c>
      <c r="CK150" s="17">
        <f t="shared" si="157"/>
        <v>5.5533333333333328</v>
      </c>
      <c r="CL150" s="17">
        <f t="shared" si="158"/>
        <v>8.4466666666666654</v>
      </c>
      <c r="CM150" s="38">
        <f t="shared" si="173"/>
        <v>9.8933333333333326</v>
      </c>
      <c r="CN150" s="17">
        <f t="shared" si="159"/>
        <v>12.786666666666665</v>
      </c>
      <c r="CO150" s="17">
        <f t="shared" si="160"/>
        <v>14.233333333333333</v>
      </c>
      <c r="CP150" s="17">
        <f t="shared" si="161"/>
        <v>17.126666666666665</v>
      </c>
      <c r="CQ150" s="2" cm="1">
        <f t="array" aca="1" ref="CQ150" ca="1">MAX(_xlfn._xlws.FILTER(CJ150:CP150,CJ150:CP150&lt;BL150))</f>
        <v>9.8933333333333326</v>
      </c>
      <c r="CR150" s="2" cm="1">
        <f t="array" aca="1" ref="CR150" ca="1">MIN(_xlfn._xlws.FILTER($CJ150:$CP150,$CJ150:$CP150&gt;BL150))</f>
        <v>12.786666666666665</v>
      </c>
      <c r="CS150" s="16">
        <f t="shared" ca="1" si="175"/>
        <v>0.29245283018867929</v>
      </c>
      <c r="CT150" s="20">
        <f t="shared" ca="1" si="176"/>
        <v>-0.14622641509433965</v>
      </c>
      <c r="CU150" s="20">
        <f t="shared" ca="1" si="177"/>
        <v>-9.7484276729559768E-2</v>
      </c>
      <c r="CV150" s="20">
        <f t="shared" ca="1" si="178"/>
        <v>-5.8490566037735857E-2</v>
      </c>
      <c r="CW150" s="20">
        <f t="shared" ca="1" si="179"/>
        <v>-3.2494758909853254E-2</v>
      </c>
      <c r="CX150" s="20">
        <f t="shared" ca="1" si="180"/>
        <v>-1.7203107658157607E-2</v>
      </c>
      <c r="CY150" s="20">
        <f t="shared" ca="1" si="181"/>
        <v>-8.8622069754145244E-3</v>
      </c>
      <c r="CZ150" s="20">
        <f t="shared" ca="1" si="182"/>
        <v>-4.4992743105950663E-3</v>
      </c>
      <c r="DA150" s="21">
        <f t="shared" ca="1" si="183"/>
        <v>4.4992743105950663E-3</v>
      </c>
      <c r="DB150" s="21">
        <f t="shared" ca="1" si="184"/>
        <v>8.8622069754145244E-3</v>
      </c>
      <c r="DC150" s="21">
        <f t="shared" ca="1" si="185"/>
        <v>1.7203107658157607E-2</v>
      </c>
      <c r="DD150" s="21">
        <f t="shared" ca="1" si="186"/>
        <v>3.2494758909853254E-2</v>
      </c>
      <c r="DE150" s="21">
        <f t="shared" ca="1" si="187"/>
        <v>5.8490566037735857E-2</v>
      </c>
      <c r="DF150" s="21">
        <f t="shared" ca="1" si="188"/>
        <v>9.7484276729559768E-2</v>
      </c>
      <c r="DG150" s="21">
        <f t="shared" ca="1" si="189"/>
        <v>0.14622641509433965</v>
      </c>
      <c r="DI150" s="16" cm="1">
        <f t="array" aca="1" ref="DI150" ca="1">MAX(_xlfn._xlws.FILTER(CT150:DG150,CT150:DG150&lt;BR150))</f>
        <v>-3.2494758909853254E-2</v>
      </c>
      <c r="DJ150" s="16" cm="1">
        <f t="array" aca="1" ref="DJ150" ca="1">MIN(_xlfn._xlws.FILTER(CT150:DG150,CT150:DG150&gt;BR150))</f>
        <v>-1.7203107658157607E-2</v>
      </c>
      <c r="DK150" s="2" cm="1">
        <f t="array" aca="1" ref="DK150" ca="1">_FV(EC150,"Fechamento anterior",TRUE)</f>
        <v>11.34</v>
      </c>
      <c r="DL150" s="28">
        <f t="shared" ca="1" si="162"/>
        <v>0.33730158730158255</v>
      </c>
      <c r="DM150" s="15">
        <f t="shared" ca="1" si="190"/>
        <v>10.971509433962265</v>
      </c>
      <c r="DN150" s="15">
        <f t="shared" ca="1" si="191"/>
        <v>11.144916759156493</v>
      </c>
      <c r="DO150" s="9"/>
      <c r="DP150" s="9"/>
      <c r="DQ150" s="9"/>
      <c r="DR150" s="89">
        <v>6.5414900060569376E-3</v>
      </c>
      <c r="DS150" s="89">
        <v>8.1289418360196205E-3</v>
      </c>
      <c r="DT150" s="89">
        <v>1.5291651251695647E-2</v>
      </c>
      <c r="DU150" s="89">
        <v>1.5291651251695647E-2</v>
      </c>
      <c r="DV150" s="89">
        <f t="shared" ca="1" si="163"/>
        <v>1.5291651251695647E-2</v>
      </c>
      <c r="DW150" s="72">
        <f t="shared" ca="1" si="164"/>
        <v>-0.15374273952430173</v>
      </c>
      <c r="DX150" s="37"/>
      <c r="DY150" s="35">
        <f t="shared" si="174"/>
        <v>0.2081399102099887</v>
      </c>
      <c r="DZ150" s="56"/>
      <c r="EA150" s="56"/>
      <c r="EC150" s="2" t="e" vm="150">
        <v>#VALUE!</v>
      </c>
      <c r="EE150" s="10" t="e" cm="1" vm="151">
        <f t="array" ref="EE150">_FV(EC150,"Ações em circulação",TRUE)</f>
        <v>#VALUE!</v>
      </c>
      <c r="EF150" s="18" t="e">
        <f>VLOOKUP(BM150,Fundamentus!A:U,5,FALSE)</f>
        <v>#N/A</v>
      </c>
      <c r="EG150" s="2" t="e" vm="152">
        <f t="shared" ca="1" si="165"/>
        <v>#VALUE!</v>
      </c>
      <c r="EH150" s="17" t="e" vm="152">
        <v>#VALUE!</v>
      </c>
      <c r="EI150" s="17" t="e" vm="152">
        <f t="shared" ca="1" si="166"/>
        <v>#VALUE!</v>
      </c>
      <c r="EK150" s="16" t="e" vm="152">
        <f t="shared" ca="1" si="153"/>
        <v>#VALUE!</v>
      </c>
      <c r="EL150" s="32" t="e">
        <f>IF(VLOOKUP(BM150,Fundamentus!A:U,3,FALSE)&lt;15,"Bom",IF(VLOOKUP(BM150,Fundamentus!A:U,3,FALSE)&gt;15,"Ruim","n/a"))</f>
        <v>#N/A</v>
      </c>
      <c r="EM150" s="28" t="e">
        <f>IF(VLOOKUP(BM150,Fundamentus!A:U,4,FALSE)&lt;1,"Baixo",IF(VLOOKUP(BM150,Fundamentus!A:U,4,FALSE)&lt;1.5,"Moderado",IF(VLOOKUP(BM150,Fundamentus!A:U,4,FALSE)&gt;1.5,"Alto","n/a")))</f>
        <v>#N/A</v>
      </c>
      <c r="EN150" s="17" t="e">
        <f>IF(VLOOKUP(BM150,Fundamentus!A:U,8,FALSE)&lt;0,"Risco elevado",IF(VLOOKUP(BM150,Fundamentus!A:U,8,FALSE)&lt;1,"Saudável",IF(VLOOKUP(BM150,Fundamentus!A:U,8,FALSE)&lt;3,"Estável",IF(VLOOKUP(BM150,Fundamentus!A:U,8,FALSE)&gt;3,"Alerta","n/a"))))</f>
        <v>#N/A</v>
      </c>
      <c r="EO150" s="28" t="e">
        <f t="shared" si="167"/>
        <v>#N/A</v>
      </c>
      <c r="EP150" s="17" t="e">
        <f>IF(VLOOKUP(BM150,Fundamentus!A:U,12,FALSE)&lt;2,"Subvalorizada",IF(VLOOKUP(BM150,Fundamentus!A:U,12,FALSE)&lt;6,"Muita barata",IF(VLOOKUP(BM150,Fundamentus!A:U,12,FALSE)&lt;6,"Barata",IF(VLOOKUP(BM150,Fundamentus!A:U,12,FALSE)&lt;8,"Atrativa",IF(VLOOKUP(BM150,Fundamentus!A:U,12,FALSE)&gt;8,"Supervalorizada","n/a")))))</f>
        <v>#N/A</v>
      </c>
      <c r="ER150" s="17" t="e">
        <f>IF(VLOOKUP(BM150,Fundamentus!A:U,17,FALSE)&lt;0.1,"Fraco retorno",IF(VLOOKUP(BM150,Fundamentus!A:U,17,FALSE)&gt;0.1,"Bom retorno","n/a"))</f>
        <v>#N/A</v>
      </c>
      <c r="ES150" s="17" t="e">
        <f>IF(VLOOKUP(BM150,Fundamentus!A:U,16,FALSE)&lt;0.1,"Ineficiente",IF(VLOOKUP(BM150,Fundamentus!A:U,16,FALSE)&gt;0.1,"Eficiente","n/a"))</f>
        <v>#N/A</v>
      </c>
      <c r="ET150" s="33" t="e">
        <f>IF(VLOOKUP(BM150,Fundamentus!A:U,16,FALSE)&lt;0.1,"Oper. Ineficiente",IF(VLOOKUP(BM150,Fundamentus!A:U,16,FALSE)&gt;0.1,"Oper.Eficiente","n/a"))</f>
        <v>#N/A</v>
      </c>
      <c r="EU150" s="34" t="e">
        <f>VLOOKUP(BM150,Fundamentus!A:U,14,FALSE)</f>
        <v>#N/A</v>
      </c>
      <c r="EV150" s="17" t="e">
        <f>IF(VLOOKUP(BM150,Fundamentus!A:U,21,FALSE)&lt;0,"Negativo",IF(VLOOKUP(BM150,Fundamentus!A:U,21,FALSE)&lt;0.05,"Fraco",IF(VLOOKUP(BM150,Fundamentus!A:U,21,FALSE)&lt;0.1,"Bom",IF(VLOOKUP(BM150,Fundamentus!A:U,21,FALSE)&gt;0.1,"Muito bom","n/a"))))</f>
        <v>#N/A</v>
      </c>
      <c r="EX150" s="29" t="e">
        <f>IF(VLOOKUP(BM150,Fundamentus!A:U,15,FALSE)&gt;1,"Bom",IF(VLOOKUP(BM150,Fundamentus!A:U,15,FALSE)&lt;1,"Ruim","n/a"))</f>
        <v>#N/A</v>
      </c>
      <c r="EY150" s="17" t="e">
        <f>IF(VLOOKUP(BM150,Fundamentus!A:U,20,FALSE)&lt;0.5,"Baixa",IF(VLOOKUP(BM150,Fundamentus!A:U,20,FALSE)&lt;1,"Moderada",IF(VLOOKUP(BM150,Fundamentus!A:U,20,FALSE)&lt;2,"Alerta",IF(VLOOKUP(BM150,Fundamentus!A:U,20,FALSE)&gt;2,"Alta","n/a"))))</f>
        <v>#N/A</v>
      </c>
      <c r="EZ150" s="10"/>
    </row>
    <row r="151" spans="1:156" s="2" customFormat="1" ht="11.25" x14ac:dyDescent="0.2">
      <c r="A151" s="4">
        <v>4.72</v>
      </c>
      <c r="B151" s="4">
        <v>4.3499999999999996</v>
      </c>
      <c r="C151" s="4">
        <v>4.2699999999999996</v>
      </c>
      <c r="D151" s="4">
        <v>4.2</v>
      </c>
      <c r="E151" s="4">
        <v>4.05</v>
      </c>
      <c r="F151" s="4">
        <v>3.98</v>
      </c>
      <c r="G151" s="4">
        <v>4.03</v>
      </c>
      <c r="H151" s="4">
        <v>4.17</v>
      </c>
      <c r="I151" s="4">
        <v>4.26</v>
      </c>
      <c r="J151" s="4">
        <v>4.2</v>
      </c>
      <c r="K151" s="4">
        <v>4.18</v>
      </c>
      <c r="L151" s="4">
        <v>4.28</v>
      </c>
      <c r="M151" s="4">
        <v>4.24</v>
      </c>
      <c r="N151" s="4">
        <v>4.37</v>
      </c>
      <c r="O151" s="4">
        <v>4.1900000000000004</v>
      </c>
      <c r="P151" s="4">
        <v>4.1900000000000004</v>
      </c>
      <c r="Q151" s="4">
        <v>4.4000000000000004</v>
      </c>
      <c r="R151" s="4">
        <v>4.3600000000000003</v>
      </c>
      <c r="S151" s="4">
        <v>4.3099999999999996</v>
      </c>
      <c r="T151" s="4">
        <v>4.3600000000000003</v>
      </c>
      <c r="U151" s="4">
        <v>4.17</v>
      </c>
      <c r="V151" s="4">
        <v>4.2</v>
      </c>
      <c r="W151" s="4">
        <v>4.2699999999999996</v>
      </c>
      <c r="X151" s="4">
        <v>4.03</v>
      </c>
      <c r="Y151" s="4">
        <v>4.1399999999999997</v>
      </c>
      <c r="Z151" s="4">
        <v>4.16</v>
      </c>
      <c r="AA151" s="4">
        <v>4.1900000000000004</v>
      </c>
      <c r="AB151" s="4">
        <v>4.13</v>
      </c>
      <c r="AC151" s="4">
        <v>4.1100000000000003</v>
      </c>
      <c r="AD151" s="4">
        <v>4.26</v>
      </c>
      <c r="AE151" s="4">
        <v>4.4000000000000004</v>
      </c>
      <c r="AF151" s="4">
        <v>4.57</v>
      </c>
      <c r="AG151" s="4">
        <v>4.59</v>
      </c>
      <c r="AH151" s="4">
        <v>4.5599999999999996</v>
      </c>
      <c r="AI151" s="4">
        <v>4.5999999999999996</v>
      </c>
      <c r="AJ151" s="4">
        <v>4.49</v>
      </c>
      <c r="AK151" s="4">
        <v>4.34</v>
      </c>
      <c r="AL151" s="4">
        <v>4.2699999999999996</v>
      </c>
      <c r="AM151" s="4">
        <v>4.34</v>
      </c>
      <c r="AN151" s="4">
        <v>4.41</v>
      </c>
      <c r="AO151" s="4">
        <v>4.1900000000000004</v>
      </c>
      <c r="AP151" s="4">
        <v>4.24</v>
      </c>
      <c r="AQ151" s="4">
        <v>4.1399999999999997</v>
      </c>
      <c r="AR151" s="4">
        <v>3.97</v>
      </c>
      <c r="AS151" s="4">
        <v>4</v>
      </c>
      <c r="AT151" s="4">
        <v>3.9</v>
      </c>
      <c r="AU151" s="4">
        <v>3.92</v>
      </c>
      <c r="AV151" s="4">
        <v>3.8</v>
      </c>
      <c r="AW151" s="4">
        <v>3.68</v>
      </c>
      <c r="AX151" s="4">
        <v>3.59</v>
      </c>
      <c r="AY151" s="12">
        <v>3.56</v>
      </c>
      <c r="AZ151" s="12">
        <v>3.71</v>
      </c>
      <c r="BA151" s="12">
        <v>3.68</v>
      </c>
      <c r="BB151" s="15">
        <v>3.94</v>
      </c>
      <c r="BC151" s="52">
        <v>3.91</v>
      </c>
      <c r="BD151" s="52">
        <v>3.83</v>
      </c>
      <c r="BE151" s="52">
        <v>3.67</v>
      </c>
      <c r="BF151" s="52">
        <v>3.64</v>
      </c>
      <c r="BG151" s="67">
        <v>3.64</v>
      </c>
      <c r="BH151" s="52">
        <v>3.5</v>
      </c>
      <c r="BI151" s="52">
        <v>3.58</v>
      </c>
      <c r="BJ151" s="52">
        <v>3.89</v>
      </c>
      <c r="BK151" s="52">
        <v>3.7</v>
      </c>
      <c r="BL151" s="52" cm="1">
        <f t="array" aca="1" ref="BL151" ca="1">_FV(EC151,"Preço")</f>
        <v>3.7</v>
      </c>
      <c r="BM151" s="69" t="s">
        <v>147</v>
      </c>
      <c r="BN151" s="36" cm="1">
        <f t="array" aca="1" ref="BN151" ca="1">_FV(EC151,"Média de volume",TRUE)</f>
        <v>1959120</v>
      </c>
      <c r="BO151" s="36">
        <v>734200</v>
      </c>
      <c r="BP151" s="36" cm="1">
        <f t="array" aca="1" ref="BP151" ca="1">_FV(EC151,"Volume")</f>
        <v>734200</v>
      </c>
      <c r="BQ151" s="24" cm="1">
        <f t="array" aca="1" ref="BQ151" ca="1">_FV(EC151,"Beta")</f>
        <v>0.35980000000000001</v>
      </c>
      <c r="BR151" s="71" cm="1">
        <f t="array" aca="1" ref="BR151" ca="1">_FV(EC151,"Variação (%)",TRUE)</f>
        <v>-8.0429999999999998E-3</v>
      </c>
      <c r="BT151" s="17" cm="1">
        <f t="array" aca="1" ref="BT151" ca="1">_FV(EC151,"Baixo")</f>
        <v>3.67</v>
      </c>
      <c r="BU151" s="17" cm="1">
        <f t="array" aca="1" ref="BU151" ca="1">_FV(EC151,"Alto")</f>
        <v>3.74</v>
      </c>
      <c r="BV151" s="24"/>
      <c r="BW151" s="63">
        <f ca="1">SQRT(22.5*(BL151/VLOOKUP(BM151,Fundamentus!A:U,3,FALSE))*(BL151/VLOOKUP(BM151,Fundamentus!A:U,4,FALSE)))</f>
        <v>3.0788466178636034</v>
      </c>
      <c r="BY151" s="62">
        <f t="shared" ca="1" si="168"/>
        <v>0</v>
      </c>
      <c r="BZ151" s="8"/>
      <c r="CA151" s="61">
        <f t="shared" si="169"/>
        <v>3.5</v>
      </c>
      <c r="CB151" s="61">
        <f t="shared" si="170"/>
        <v>4.72</v>
      </c>
      <c r="CC151" s="61">
        <f t="shared" si="171"/>
        <v>4.1114285714285721</v>
      </c>
      <c r="CD151" s="14"/>
      <c r="CE151" s="35">
        <f t="shared" si="154"/>
        <v>3.4717762679815571</v>
      </c>
      <c r="CF151" s="15">
        <f t="shared" si="172"/>
        <v>3.7129999999999654</v>
      </c>
      <c r="CG151" s="35">
        <f t="shared" si="155"/>
        <v>3.9542237320183737</v>
      </c>
      <c r="CI151" s="14"/>
      <c r="CJ151" s="17">
        <f t="shared" si="156"/>
        <v>2.1333333333333329</v>
      </c>
      <c r="CK151" s="17">
        <f t="shared" si="157"/>
        <v>2.8166666666666664</v>
      </c>
      <c r="CL151" s="17">
        <f t="shared" si="158"/>
        <v>3.3533333333333326</v>
      </c>
      <c r="CM151" s="38">
        <f t="shared" si="173"/>
        <v>4.0366666666666662</v>
      </c>
      <c r="CN151" s="17">
        <f t="shared" si="159"/>
        <v>4.5733333333333324</v>
      </c>
      <c r="CO151" s="17">
        <f t="shared" si="160"/>
        <v>5.2566666666666659</v>
      </c>
      <c r="CP151" s="17">
        <f t="shared" si="161"/>
        <v>5.7933333333333321</v>
      </c>
      <c r="CQ151" s="2" cm="1">
        <f t="array" aca="1" ref="CQ151" ca="1">MAX(_xlfn._xlws.FILTER(CJ151:CP151,CJ151:CP151&lt;BL151))</f>
        <v>3.3533333333333326</v>
      </c>
      <c r="CR151" s="2" cm="1">
        <f t="array" aca="1" ref="CR151" ca="1">MIN(_xlfn._xlws.FILTER($CJ151:$CP151,$CJ151:$CP151&gt;BL151))</f>
        <v>4.0366666666666662</v>
      </c>
      <c r="CS151" s="16">
        <f t="shared" ca="1" si="175"/>
        <v>0.20377733598409553</v>
      </c>
      <c r="CT151" s="20">
        <f t="shared" ca="1" si="176"/>
        <v>-0.10188866799204777</v>
      </c>
      <c r="CU151" s="20">
        <f t="shared" ca="1" si="177"/>
        <v>-6.7925778661365177E-2</v>
      </c>
      <c r="CV151" s="20">
        <f t="shared" ca="1" si="178"/>
        <v>-4.0755467196819106E-2</v>
      </c>
      <c r="CW151" s="20">
        <f t="shared" ca="1" si="179"/>
        <v>-2.264192622045506E-2</v>
      </c>
      <c r="CX151" s="20">
        <f t="shared" ca="1" si="180"/>
        <v>-1.1986902116711502E-2</v>
      </c>
      <c r="CY151" s="20">
        <f t="shared" ca="1" si="181"/>
        <v>-6.1750707873968339E-3</v>
      </c>
      <c r="CZ151" s="20">
        <f t="shared" ca="1" si="182"/>
        <v>-3.1350359382168545E-3</v>
      </c>
      <c r="DA151" s="21">
        <f t="shared" ca="1" si="183"/>
        <v>3.1350359382168545E-3</v>
      </c>
      <c r="DB151" s="21">
        <f t="shared" ca="1" si="184"/>
        <v>6.1750707873968339E-3</v>
      </c>
      <c r="DC151" s="21">
        <f t="shared" ca="1" si="185"/>
        <v>1.1986902116711502E-2</v>
      </c>
      <c r="DD151" s="21">
        <f t="shared" ca="1" si="186"/>
        <v>2.264192622045506E-2</v>
      </c>
      <c r="DE151" s="21">
        <f t="shared" ca="1" si="187"/>
        <v>4.0755467196819106E-2</v>
      </c>
      <c r="DF151" s="21">
        <f t="shared" ca="1" si="188"/>
        <v>6.7925778661365177E-2</v>
      </c>
      <c r="DG151" s="21">
        <f t="shared" ca="1" si="189"/>
        <v>0.10188866799204777</v>
      </c>
      <c r="DI151" s="16" cm="1">
        <f t="array" aca="1" ref="DI151" ca="1">MAX(_xlfn._xlws.FILTER(CT151:DG151,CT151:DG151&lt;BR151))</f>
        <v>-1.1986902116711502E-2</v>
      </c>
      <c r="DJ151" s="16" cm="1">
        <f t="array" aca="1" ref="DJ151" ca="1">MIN(_xlfn._xlws.FILTER(CT151:DG151,CT151:DG151&gt;BR151))</f>
        <v>-6.1750707873968339E-3</v>
      </c>
      <c r="DK151" s="2" cm="1">
        <f t="array" aca="1" ref="DK151" ca="1">_FV(EC151,"Fechamento anterior",TRUE)</f>
        <v>3.73</v>
      </c>
      <c r="DL151" s="28">
        <f t="shared" ca="1" si="162"/>
        <v>0.67861685084679935</v>
      </c>
      <c r="DM151" s="15">
        <f t="shared" ca="1" si="190"/>
        <v>3.6852888551046661</v>
      </c>
      <c r="DN151" s="15">
        <f t="shared" ca="1" si="191"/>
        <v>3.7069669859630099</v>
      </c>
      <c r="DO151" s="9"/>
      <c r="DP151" s="9"/>
      <c r="DQ151" s="9"/>
      <c r="DR151" s="89">
        <v>6.9503737323806476E-3</v>
      </c>
      <c r="DS151" s="89">
        <v>7.1201525746980264E-3</v>
      </c>
      <c r="DT151" s="89">
        <v>6.2700718764337089E-3</v>
      </c>
      <c r="DU151" s="89">
        <v>5.8118313293146684E-3</v>
      </c>
      <c r="DV151" s="89">
        <f t="shared" ca="1" si="163"/>
        <v>5.8118313293146684E-3</v>
      </c>
      <c r="DW151" s="72">
        <f t="shared" ca="1" si="164"/>
        <v>-5.3891878262513591E-2</v>
      </c>
      <c r="DX151" s="37"/>
      <c r="DY151" s="35">
        <f t="shared" si="174"/>
        <v>0.12061186600920422</v>
      </c>
      <c r="DZ151" s="56"/>
      <c r="EA151" s="56"/>
      <c r="EC151" s="2" t="e" vm="153">
        <v>#VALUE!</v>
      </c>
      <c r="EE151" s="10" cm="1">
        <f t="array" aca="1" ref="EE151" ca="1">_FV(EC151,"Ações em circulação",TRUE)</f>
        <v>1235936000</v>
      </c>
      <c r="EF151" s="18">
        <f>VLOOKUP(BM151,Fundamentus!A:U,5,FALSE)</f>
        <v>1.121</v>
      </c>
      <c r="EG151" s="2">
        <f t="shared" ca="1" si="165"/>
        <v>4079360570.9188223</v>
      </c>
      <c r="EH151" s="17">
        <v>413239225.8340767</v>
      </c>
      <c r="EI151" s="17">
        <f t="shared" ca="1" si="166"/>
        <v>413239225.8340767</v>
      </c>
      <c r="EK151" s="16">
        <f t="shared" ca="1" si="153"/>
        <v>0</v>
      </c>
      <c r="EL151" s="32" t="str">
        <f>IF(VLOOKUP(BM151,Fundamentus!A:U,3,FALSE)&lt;15,"Bom",IF(VLOOKUP(BM151,Fundamentus!A:U,3,FALSE)&gt;15,"Ruim","n/a"))</f>
        <v>Bom</v>
      </c>
      <c r="EM151" s="28" t="str">
        <f>IF(VLOOKUP(BM151,Fundamentus!A:U,4,FALSE)&lt;1,"Baixo",IF(VLOOKUP(BM151,Fundamentus!A:U,4,FALSE)&lt;1.5,"Moderado",IF(VLOOKUP(BM151,Fundamentus!A:U,4,FALSE)&gt;1.5,"Alto","n/a")))</f>
        <v>Alto</v>
      </c>
      <c r="EN151" s="17" t="str">
        <f>IF(VLOOKUP(BM151,Fundamentus!A:U,8,FALSE)&lt;0,"Risco elevado",IF(VLOOKUP(BM151,Fundamentus!A:U,8,FALSE)&lt;1,"Saudável",IF(VLOOKUP(BM151,Fundamentus!A:U,8,FALSE)&lt;3,"Estável",IF(VLOOKUP(BM151,Fundamentus!A:U,8,FALSE)&gt;3,"Alerta","n/a"))))</f>
        <v>Alerta</v>
      </c>
      <c r="EO151" s="28" t="str">
        <f t="shared" si="167"/>
        <v>Bom</v>
      </c>
      <c r="EP151" s="17" t="str">
        <f>IF(VLOOKUP(BM151,Fundamentus!A:U,12,FALSE)&lt;2,"Subvalorizada",IF(VLOOKUP(BM151,Fundamentus!A:U,12,FALSE)&lt;6,"Muita barata",IF(VLOOKUP(BM151,Fundamentus!A:U,12,FALSE)&lt;6,"Barata",IF(VLOOKUP(BM151,Fundamentus!A:U,12,FALSE)&lt;8,"Atrativa",IF(VLOOKUP(BM151,Fundamentus!A:U,12,FALSE)&gt;8,"Supervalorizada","n/a")))))</f>
        <v>Muita barata</v>
      </c>
      <c r="ER151" s="17" t="str">
        <f>IF(VLOOKUP(BM151,Fundamentus!A:U,17,FALSE)&lt;0.1,"Fraco retorno",IF(VLOOKUP(BM151,Fundamentus!A:U,17,FALSE)&gt;0.1,"Bom retorno","n/a"))</f>
        <v>Bom retorno</v>
      </c>
      <c r="ES151" s="17" t="str">
        <f>IF(VLOOKUP(BM151,Fundamentus!A:U,16,FALSE)&lt;0.1,"Ineficiente",IF(VLOOKUP(BM151,Fundamentus!A:U,16,FALSE)&gt;0.1,"Eficiente","n/a"))</f>
        <v>Ineficiente</v>
      </c>
      <c r="ET151" s="33" t="str">
        <f>IF(VLOOKUP(BM151,Fundamentus!A:U,16,FALSE)&lt;0.1,"Oper. Ineficiente",IF(VLOOKUP(BM151,Fundamentus!A:U,16,FALSE)&gt;0.1,"Oper.Eficiente","n/a"))</f>
        <v>Oper. Ineficiente</v>
      </c>
      <c r="EU151" s="34">
        <f>VLOOKUP(BM151,Fundamentus!A:U,14,FALSE)</f>
        <v>0.1013</v>
      </c>
      <c r="EV151" s="17" t="str">
        <f>IF(VLOOKUP(BM151,Fundamentus!A:U,21,FALSE)&lt;0,"Negativo",IF(VLOOKUP(BM151,Fundamentus!A:U,21,FALSE)&lt;0.05,"Fraco",IF(VLOOKUP(BM151,Fundamentus!A:U,21,FALSE)&lt;0.1,"Bom",IF(VLOOKUP(BM151,Fundamentus!A:U,21,FALSE)&gt;0.1,"Muito bom","n/a"))))</f>
        <v>Bom</v>
      </c>
      <c r="EX151" s="29" t="str">
        <f>IF(VLOOKUP(BM151,Fundamentus!A:U,15,FALSE)&gt;1,"Bom",IF(VLOOKUP(BM151,Fundamentus!A:U,15,FALSE)&lt;1,"Ruim","n/a"))</f>
        <v>Bom</v>
      </c>
      <c r="EY151" s="17" t="str">
        <f>IF(VLOOKUP(BM151,Fundamentus!A:U,20,FALSE)&lt;0.5,"Baixa",IF(VLOOKUP(BM151,Fundamentus!A:U,20,FALSE)&lt;1,"Moderada",IF(VLOOKUP(BM151,Fundamentus!A:U,20,FALSE)&lt;2,"Alerta",IF(VLOOKUP(BM151,Fundamentus!A:U,20,FALSE)&gt;2,"Alta","n/a"))))</f>
        <v>Alta</v>
      </c>
      <c r="EZ151" s="10"/>
    </row>
    <row r="152" spans="1:156" s="2" customFormat="1" ht="11.25" x14ac:dyDescent="0.2">
      <c r="A152" s="4">
        <v>8.7200000000000006</v>
      </c>
      <c r="B152" s="4">
        <v>8.16</v>
      </c>
      <c r="C152" s="4">
        <v>8.7200000000000006</v>
      </c>
      <c r="D152" s="4">
        <v>7.9</v>
      </c>
      <c r="E152" s="4">
        <v>7.85</v>
      </c>
      <c r="F152" s="4">
        <v>8.3800000000000008</v>
      </c>
      <c r="G152" s="4">
        <v>7.76</v>
      </c>
      <c r="H152" s="4">
        <v>7.96</v>
      </c>
      <c r="I152" s="4">
        <v>7.75</v>
      </c>
      <c r="J152" s="4">
        <v>8.48</v>
      </c>
      <c r="K152" s="4">
        <v>8.48</v>
      </c>
      <c r="L152" s="4">
        <v>8.09</v>
      </c>
      <c r="M152" s="4">
        <v>8.31</v>
      </c>
      <c r="N152" s="4">
        <v>8.41</v>
      </c>
      <c r="O152" s="4">
        <v>8.9700000000000006</v>
      </c>
      <c r="P152" s="4">
        <v>9.44</v>
      </c>
      <c r="Q152" s="4">
        <v>9.73</v>
      </c>
      <c r="R152" s="4">
        <v>9.4600000000000009</v>
      </c>
      <c r="S152" s="4">
        <v>9.35</v>
      </c>
      <c r="T152" s="4">
        <v>9.24</v>
      </c>
      <c r="U152" s="4">
        <v>8.76</v>
      </c>
      <c r="V152" s="4">
        <v>8.98</v>
      </c>
      <c r="W152" s="4">
        <v>8.39</v>
      </c>
      <c r="X152" s="4">
        <v>8.4</v>
      </c>
      <c r="Y152" s="4">
        <v>8.58</v>
      </c>
      <c r="Z152" s="4">
        <v>8.51</v>
      </c>
      <c r="AA152" s="4">
        <v>8.49</v>
      </c>
      <c r="AB152" s="4">
        <v>8.67</v>
      </c>
      <c r="AC152" s="4">
        <v>8.6999999999999993</v>
      </c>
      <c r="AD152" s="4">
        <v>8.57</v>
      </c>
      <c r="AE152" s="4">
        <v>7.9</v>
      </c>
      <c r="AF152" s="4">
        <v>7.67</v>
      </c>
      <c r="AG152" s="4">
        <v>7.42</v>
      </c>
      <c r="AH152" s="4">
        <v>7.09</v>
      </c>
      <c r="AI152" s="4">
        <v>7.29</v>
      </c>
      <c r="AJ152" s="4">
        <v>7.1</v>
      </c>
      <c r="AK152" s="4">
        <v>6.95</v>
      </c>
      <c r="AL152" s="4">
        <v>7.18</v>
      </c>
      <c r="AM152" s="4">
        <v>7.29</v>
      </c>
      <c r="AN152" s="4">
        <v>8.0500000000000007</v>
      </c>
      <c r="AO152" s="4">
        <v>8.36</v>
      </c>
      <c r="AP152" s="4">
        <v>8.34</v>
      </c>
      <c r="AQ152" s="4">
        <v>8.11</v>
      </c>
      <c r="AR152" s="4">
        <v>7.56</v>
      </c>
      <c r="AS152" s="4">
        <v>7.81</v>
      </c>
      <c r="AT152" s="4">
        <v>8.31</v>
      </c>
      <c r="AU152" s="4">
        <v>8.5399999999999991</v>
      </c>
      <c r="AV152" s="4">
        <v>8.09</v>
      </c>
      <c r="AW152" s="4">
        <v>7.8</v>
      </c>
      <c r="AX152" s="4">
        <v>7.34</v>
      </c>
      <c r="AY152" s="12">
        <v>7.65</v>
      </c>
      <c r="AZ152" s="12">
        <v>8.25</v>
      </c>
      <c r="BA152" s="12">
        <v>8.39</v>
      </c>
      <c r="BB152" s="15">
        <v>8.99</v>
      </c>
      <c r="BC152" s="52">
        <v>8.77</v>
      </c>
      <c r="BD152" s="52">
        <v>8.8000000000000007</v>
      </c>
      <c r="BE152" s="52">
        <v>8.44</v>
      </c>
      <c r="BF152" s="52">
        <v>8.64</v>
      </c>
      <c r="BG152" s="67">
        <v>8.8000000000000007</v>
      </c>
      <c r="BH152" s="52">
        <v>9</v>
      </c>
      <c r="BI152" s="52">
        <v>9.39</v>
      </c>
      <c r="BJ152" s="52">
        <v>9.41</v>
      </c>
      <c r="BK152" s="52">
        <v>8.99</v>
      </c>
      <c r="BL152" s="52" cm="1">
        <f t="array" aca="1" ref="BL152" ca="1">_FV(EC152,"Preço")</f>
        <v>8.99</v>
      </c>
      <c r="BM152" s="66" t="s">
        <v>148</v>
      </c>
      <c r="BN152" s="36" cm="1">
        <f t="array" aca="1" ref="BN152" ca="1">_FV(EC152,"Média de volume",TRUE)</f>
        <v>8884360</v>
      </c>
      <c r="BO152" s="36">
        <v>4400</v>
      </c>
      <c r="BP152" s="36" cm="1">
        <f t="array" aca="1" ref="BP152" ca="1">_FV(EC152,"Volume")</f>
        <v>4400</v>
      </c>
      <c r="BQ152" s="24" cm="1">
        <f t="array" aca="1" ref="BQ152" ca="1">_FV(EC152,"Beta")</f>
        <v>1.3775999999999999</v>
      </c>
      <c r="BR152" s="71" cm="1">
        <f t="array" aca="1" ref="BR152" ca="1">_FV(EC152,"Variação (%)",TRUE)</f>
        <v>-5.5310000000000003E-3</v>
      </c>
      <c r="BT152" s="17" cm="1">
        <f t="array" aca="1" ref="BT152" ca="1">_FV(EC152,"Baixo")</f>
        <v>8.83</v>
      </c>
      <c r="BU152" s="17" cm="1">
        <f t="array" aca="1" ref="BU152" ca="1">_FV(EC152,"Alto")</f>
        <v>9.0399999999999991</v>
      </c>
      <c r="BV152" s="24"/>
      <c r="BW152" s="63">
        <f ca="1">SQRT(22.5*(BL152/VLOOKUP(BM152,Fundamentus!A:U,3,FALSE))*(BL152/VLOOKUP(BM152,Fundamentus!A:U,4,FALSE)))</f>
        <v>11.399673953515627</v>
      </c>
      <c r="BY152" s="62">
        <f t="shared" ca="1" si="168"/>
        <v>0</v>
      </c>
      <c r="BZ152" s="8"/>
      <c r="CA152" s="61">
        <f t="shared" si="169"/>
        <v>6.95</v>
      </c>
      <c r="CB152" s="61">
        <f t="shared" si="170"/>
        <v>9.73</v>
      </c>
      <c r="CC152" s="61">
        <f t="shared" si="171"/>
        <v>8.3322222222222226</v>
      </c>
      <c r="CD152" s="14"/>
      <c r="CE152" s="35">
        <f t="shared" si="154"/>
        <v>8.63067657454223</v>
      </c>
      <c r="CF152" s="15">
        <f t="shared" si="172"/>
        <v>9.1969999999999992</v>
      </c>
      <c r="CG152" s="35">
        <f t="shared" si="155"/>
        <v>9.7633234254577683</v>
      </c>
      <c r="CI152" s="14"/>
      <c r="CJ152" s="17">
        <f t="shared" si="156"/>
        <v>4.8833333333333337</v>
      </c>
      <c r="CK152" s="17">
        <f t="shared" si="157"/>
        <v>5.916666666666667</v>
      </c>
      <c r="CL152" s="17">
        <f t="shared" si="158"/>
        <v>7.663333333333334</v>
      </c>
      <c r="CM152" s="38">
        <f t="shared" si="173"/>
        <v>8.6966666666666672</v>
      </c>
      <c r="CN152" s="17">
        <f t="shared" si="159"/>
        <v>10.443333333333335</v>
      </c>
      <c r="CO152" s="17">
        <f t="shared" si="160"/>
        <v>11.476666666666667</v>
      </c>
      <c r="CP152" s="17">
        <f t="shared" si="161"/>
        <v>13.223333333333334</v>
      </c>
      <c r="CQ152" s="2" cm="1">
        <f t="array" aca="1" ref="CQ152" ca="1">MAX(_xlfn._xlws.FILTER(CJ152:CP152,CJ152:CP152&lt;BL152))</f>
        <v>8.6966666666666672</v>
      </c>
      <c r="CR152" s="2" cm="1">
        <f t="array" aca="1" ref="CR152" ca="1">MIN(_xlfn._xlws.FILTER($CJ152:$CP152,$CJ152:$CP152&gt;BL152))</f>
        <v>10.443333333333335</v>
      </c>
      <c r="CS152" s="16">
        <f t="shared" ca="1" si="175"/>
        <v>0.20084323495592193</v>
      </c>
      <c r="CT152" s="20">
        <f t="shared" ca="1" si="176"/>
        <v>-0.10042161747796097</v>
      </c>
      <c r="CU152" s="20">
        <f t="shared" ca="1" si="177"/>
        <v>-6.6947744985307311E-2</v>
      </c>
      <c r="CV152" s="20">
        <f t="shared" ca="1" si="178"/>
        <v>-4.0168646991184387E-2</v>
      </c>
      <c r="CW152" s="20">
        <f t="shared" ca="1" si="179"/>
        <v>-2.2315914995102437E-2</v>
      </c>
      <c r="CX152" s="20">
        <f t="shared" ca="1" si="180"/>
        <v>-1.1814307938583643E-2</v>
      </c>
      <c r="CY152" s="20">
        <f t="shared" ca="1" si="181"/>
        <v>-6.0861586350279377E-3</v>
      </c>
      <c r="CZ152" s="20">
        <f t="shared" ca="1" si="182"/>
        <v>-3.0898959223987989E-3</v>
      </c>
      <c r="DA152" s="21">
        <f t="shared" ca="1" si="183"/>
        <v>3.0898959223987989E-3</v>
      </c>
      <c r="DB152" s="21">
        <f t="shared" ca="1" si="184"/>
        <v>6.0861586350279377E-3</v>
      </c>
      <c r="DC152" s="21">
        <f t="shared" ca="1" si="185"/>
        <v>1.1814307938583643E-2</v>
      </c>
      <c r="DD152" s="21">
        <f t="shared" ca="1" si="186"/>
        <v>2.2315914995102437E-2</v>
      </c>
      <c r="DE152" s="21">
        <f t="shared" ca="1" si="187"/>
        <v>4.0168646991184387E-2</v>
      </c>
      <c r="DF152" s="21">
        <f t="shared" ca="1" si="188"/>
        <v>6.6947744985307311E-2</v>
      </c>
      <c r="DG152" s="21">
        <f t="shared" ca="1" si="189"/>
        <v>0.10042161747796097</v>
      </c>
      <c r="DI152" s="16" cm="1">
        <f t="array" aca="1" ref="DI152" ca="1">MAX(_xlfn._xlws.FILTER(CT152:DG152,CT152:DG152&lt;BR152))</f>
        <v>-6.0861586350279377E-3</v>
      </c>
      <c r="DJ152" s="16" cm="1">
        <f t="array" aca="1" ref="DJ152" ca="1">MIN(_xlfn._xlws.FILTER(CT152:DG152,CT152:DG152&gt;BR152))</f>
        <v>-3.0898959223987989E-3</v>
      </c>
      <c r="DK152" s="2" cm="1">
        <f t="array" aca="1" ref="DK152" ca="1">_FV(EC152,"Fechamento anterior",TRUE)</f>
        <v>9.0399999999999991</v>
      </c>
      <c r="DL152" s="28">
        <f t="shared" ca="1" si="162"/>
        <v>0.18529255841301537</v>
      </c>
      <c r="DM152" s="15">
        <f t="shared" ca="1" si="190"/>
        <v>8.9849811259393473</v>
      </c>
      <c r="DN152" s="15">
        <f t="shared" ca="1" si="191"/>
        <v>9.0120673408615133</v>
      </c>
      <c r="DO152" s="9"/>
      <c r="DP152" s="9"/>
      <c r="DQ152" s="9"/>
      <c r="DR152" s="89">
        <v>9.3664762492923735E-3</v>
      </c>
      <c r="DS152" s="89">
        <v>1.6152101866387582E-2</v>
      </c>
      <c r="DT152" s="89">
        <v>1.0501607056518794E-2</v>
      </c>
      <c r="DU152" s="89">
        <v>2.9962627126291388E-3</v>
      </c>
      <c r="DV152" s="89">
        <f t="shared" ca="1" si="163"/>
        <v>2.9962627126291388E-3</v>
      </c>
      <c r="DW152" s="72">
        <f t="shared" ca="1" si="164"/>
        <v>-0.36551551762612899</v>
      </c>
      <c r="DX152" s="37"/>
      <c r="DY152" s="35">
        <f t="shared" si="174"/>
        <v>0.2831617127288848</v>
      </c>
      <c r="DZ152" s="56"/>
      <c r="EA152" s="56"/>
      <c r="EC152" s="2" t="e" vm="154">
        <v>#VALUE!</v>
      </c>
      <c r="EE152" s="10" cm="1">
        <f t="array" aca="1" ref="EE152" ca="1">_FV(EC152,"Ações em circulação",TRUE)</f>
        <v>10108690000</v>
      </c>
      <c r="EF152" s="18">
        <f>VLOOKUP(BM152,Fundamentus!A:U,5,FALSE)</f>
        <v>0</v>
      </c>
      <c r="EG152" s="2" t="e">
        <f t="shared" ca="1" si="165"/>
        <v>#DIV/0!</v>
      </c>
      <c r="EH152" s="17" t="e">
        <v>#DIV/0!</v>
      </c>
      <c r="EI152" s="17" t="e">
        <f t="shared" ca="1" si="166"/>
        <v>#DIV/0!</v>
      </c>
      <c r="EK152" s="16" t="e">
        <f t="shared" ca="1" si="153"/>
        <v>#DIV/0!</v>
      </c>
      <c r="EL152" s="32" t="str">
        <f>IF(VLOOKUP(BM152,Fundamentus!A:U,3,FALSE)&lt;15,"Bom",IF(VLOOKUP(BM152,Fundamentus!A:U,3,FALSE)&gt;15,"Ruim","n/a"))</f>
        <v>Bom</v>
      </c>
      <c r="EM152" s="28" t="str">
        <f>IF(VLOOKUP(BM152,Fundamentus!A:U,4,FALSE)&lt;1,"Baixo",IF(VLOOKUP(BM152,Fundamentus!A:U,4,FALSE)&lt;1.5,"Moderado",IF(VLOOKUP(BM152,Fundamentus!A:U,4,FALSE)&gt;1.5,"Alto","n/a")))</f>
        <v>Alto</v>
      </c>
      <c r="EN152" s="17" t="str">
        <f>IF(VLOOKUP(BM152,Fundamentus!A:U,8,FALSE)&lt;0,"Risco elevado",IF(VLOOKUP(BM152,Fundamentus!A:U,8,FALSE)&lt;1,"Saudável",IF(VLOOKUP(BM152,Fundamentus!A:U,8,FALSE)&lt;3,"Estável",IF(VLOOKUP(BM152,Fundamentus!A:U,8,FALSE)&gt;3,"Alerta","n/a"))))</f>
        <v>Saudável</v>
      </c>
      <c r="EO152" s="28" t="str">
        <f t="shared" si="167"/>
        <v>Ruim</v>
      </c>
      <c r="EP152" s="17" t="str">
        <f>IF(VLOOKUP(BM152,Fundamentus!A:U,12,FALSE)&lt;2,"Subvalorizada",IF(VLOOKUP(BM152,Fundamentus!A:U,12,FALSE)&lt;6,"Muita barata",IF(VLOOKUP(BM152,Fundamentus!A:U,12,FALSE)&lt;6,"Barata",IF(VLOOKUP(BM152,Fundamentus!A:U,12,FALSE)&lt;8,"Atrativa",IF(VLOOKUP(BM152,Fundamentus!A:U,12,FALSE)&gt;8,"Supervalorizada","n/a")))))</f>
        <v>Subvalorizada</v>
      </c>
      <c r="ER152" s="17" t="str">
        <f>IF(VLOOKUP(BM152,Fundamentus!A:U,17,FALSE)&lt;0.1,"Fraco retorno",IF(VLOOKUP(BM152,Fundamentus!A:U,17,FALSE)&gt;0.1,"Bom retorno","n/a"))</f>
        <v>Bom retorno</v>
      </c>
      <c r="ES152" s="17" t="str">
        <f>IF(VLOOKUP(BM152,Fundamentus!A:U,16,FALSE)&lt;0.1,"Ineficiente",IF(VLOOKUP(BM152,Fundamentus!A:U,16,FALSE)&gt;0.1,"Eficiente","n/a"))</f>
        <v>Ineficiente</v>
      </c>
      <c r="ET152" s="33" t="str">
        <f>IF(VLOOKUP(BM152,Fundamentus!A:U,16,FALSE)&lt;0.1,"Oper. Ineficiente",IF(VLOOKUP(BM152,Fundamentus!A:U,16,FALSE)&gt;0.1,"Oper.Eficiente","n/a"))</f>
        <v>Oper. Ineficiente</v>
      </c>
      <c r="EU152" s="34">
        <f>VLOOKUP(BM152,Fundamentus!A:U,14,FALSE)</f>
        <v>0</v>
      </c>
      <c r="EV152" s="17" t="str">
        <f>IF(VLOOKUP(BM152,Fundamentus!A:U,21,FALSE)&lt;0,"Negativo",IF(VLOOKUP(BM152,Fundamentus!A:U,21,FALSE)&lt;0.05,"Fraco",IF(VLOOKUP(BM152,Fundamentus!A:U,21,FALSE)&lt;0.1,"Bom",IF(VLOOKUP(BM152,Fundamentus!A:U,21,FALSE)&gt;0.1,"Muito bom","n/a"))))</f>
        <v>Muito bom</v>
      </c>
      <c r="EX152" s="29" t="str">
        <f>IF(VLOOKUP(BM152,Fundamentus!A:U,15,FALSE)&gt;1,"Bom",IF(VLOOKUP(BM152,Fundamentus!A:U,15,FALSE)&lt;1,"Ruim","n/a"))</f>
        <v>Ruim</v>
      </c>
      <c r="EY152" s="17" t="str">
        <f>IF(VLOOKUP(BM152,Fundamentus!A:U,20,FALSE)&lt;0.5,"Baixa",IF(VLOOKUP(BM152,Fundamentus!A:U,20,FALSE)&lt;1,"Moderada",IF(VLOOKUP(BM152,Fundamentus!A:U,20,FALSE)&lt;2,"Alerta",IF(VLOOKUP(BM152,Fundamentus!A:U,20,FALSE)&gt;2,"Alta","n/a"))))</f>
        <v>Baixa</v>
      </c>
      <c r="EZ152" s="10"/>
    </row>
    <row r="153" spans="1:156" s="2" customFormat="1" ht="11.25" x14ac:dyDescent="0.2">
      <c r="A153" s="4">
        <v>24.7</v>
      </c>
      <c r="B153" s="4">
        <v>24.65</v>
      </c>
      <c r="C153" s="4">
        <v>25.8</v>
      </c>
      <c r="D153" s="4">
        <v>25.16</v>
      </c>
      <c r="E153" s="4">
        <v>24.69</v>
      </c>
      <c r="F153" s="4">
        <v>26.24</v>
      </c>
      <c r="G153" s="4">
        <v>25.27</v>
      </c>
      <c r="H153" s="4">
        <v>25.26</v>
      </c>
      <c r="I153" s="4">
        <v>26.59</v>
      </c>
      <c r="J153" s="4">
        <v>26.79</v>
      </c>
      <c r="K153" s="4">
        <v>27.77</v>
      </c>
      <c r="L153" s="4">
        <v>28.41</v>
      </c>
      <c r="M153" s="4">
        <v>28.3</v>
      </c>
      <c r="N153" s="4">
        <v>27.24</v>
      </c>
      <c r="O153" s="4">
        <v>28.87</v>
      </c>
      <c r="P153" s="4">
        <v>29.1</v>
      </c>
      <c r="Q153" s="4">
        <v>29</v>
      </c>
      <c r="R153" s="4">
        <v>28.93</v>
      </c>
      <c r="S153" s="4">
        <v>31</v>
      </c>
      <c r="T153" s="4">
        <v>33.46</v>
      </c>
      <c r="U153" s="4">
        <v>31.87</v>
      </c>
      <c r="V153" s="4">
        <v>30.65</v>
      </c>
      <c r="W153" s="4">
        <v>30.05</v>
      </c>
      <c r="X153" s="4">
        <v>29.05</v>
      </c>
      <c r="Y153" s="4">
        <v>29.92</v>
      </c>
      <c r="Z153" s="4">
        <v>30.71</v>
      </c>
      <c r="AA153" s="4">
        <v>30.65</v>
      </c>
      <c r="AB153" s="4">
        <v>30.48</v>
      </c>
      <c r="AC153" s="4">
        <v>30</v>
      </c>
      <c r="AD153" s="4">
        <v>31.54</v>
      </c>
      <c r="AE153" s="4">
        <v>28.95</v>
      </c>
      <c r="AF153" s="4">
        <v>29.81</v>
      </c>
      <c r="AG153" s="4">
        <v>28.21</v>
      </c>
      <c r="AH153" s="4">
        <v>27.24</v>
      </c>
      <c r="AI153" s="4">
        <v>26.88</v>
      </c>
      <c r="AJ153" s="4">
        <v>26.56</v>
      </c>
      <c r="AK153" s="4">
        <v>24.15</v>
      </c>
      <c r="AL153" s="4">
        <v>25.31</v>
      </c>
      <c r="AM153" s="4">
        <v>26.76</v>
      </c>
      <c r="AN153" s="4">
        <v>28.78</v>
      </c>
      <c r="AO153" s="4">
        <v>29.73</v>
      </c>
      <c r="AP153" s="4">
        <v>31.16</v>
      </c>
      <c r="AQ153" s="4">
        <v>32.4</v>
      </c>
      <c r="AR153" s="4">
        <v>29.35</v>
      </c>
      <c r="AS153" s="4">
        <v>30.42</v>
      </c>
      <c r="AT153" s="4">
        <v>30</v>
      </c>
      <c r="AU153" s="4">
        <v>31.6</v>
      </c>
      <c r="AV153" s="4">
        <v>31.8</v>
      </c>
      <c r="AW153" s="4">
        <v>32.4</v>
      </c>
      <c r="AX153" s="4">
        <v>32.299999999999997</v>
      </c>
      <c r="AY153" s="12">
        <v>34.32</v>
      </c>
      <c r="AZ153" s="12">
        <v>35.869999999999997</v>
      </c>
      <c r="BA153" s="12">
        <v>36.35</v>
      </c>
      <c r="BB153" s="15">
        <v>37.97</v>
      </c>
      <c r="BC153" s="52">
        <v>38.15</v>
      </c>
      <c r="BD153" s="52">
        <v>39.479999999999997</v>
      </c>
      <c r="BE153" s="52">
        <v>40.659999999999997</v>
      </c>
      <c r="BF153" s="52">
        <v>40.71</v>
      </c>
      <c r="BG153" s="67">
        <v>39.46</v>
      </c>
      <c r="BH153" s="52">
        <v>42.15</v>
      </c>
      <c r="BI153" s="52">
        <v>42.44</v>
      </c>
      <c r="BJ153" s="52">
        <v>41.09</v>
      </c>
      <c r="BK153" s="52">
        <v>39.590000000000003</v>
      </c>
      <c r="BL153" s="52" cm="1">
        <f t="array" aca="1" ref="BL153" ca="1">_FV(EC153,"Preço")</f>
        <v>39.590000000000003</v>
      </c>
      <c r="BM153" s="69" t="s">
        <v>120</v>
      </c>
      <c r="BN153" s="36" cm="1">
        <f t="array" aca="1" ref="BN153" ca="1">_FV(EC153,"Média de volume",TRUE)</f>
        <v>1522160</v>
      </c>
      <c r="BO153" s="36">
        <v>1578400</v>
      </c>
      <c r="BP153" s="36" cm="1">
        <f t="array" aca="1" ref="BP153" ca="1">_FV(EC153,"Volume")</f>
        <v>1578400</v>
      </c>
      <c r="BQ153" s="24" cm="1">
        <f t="array" aca="1" ref="BQ153" ca="1">_FV(EC153,"Beta")</f>
        <v>1.0448999999999999</v>
      </c>
      <c r="BR153" s="71" cm="1">
        <f t="array" aca="1" ref="BR153" ca="1">_FV(EC153,"Variação (%)",TRUE)</f>
        <v>-1.0744999999999999E-2</v>
      </c>
      <c r="BT153" s="17" cm="1">
        <f t="array" aca="1" ref="BT153" ca="1">_FV(EC153,"Baixo")</f>
        <v>39.130000000000003</v>
      </c>
      <c r="BU153" s="17" cm="1">
        <f t="array" aca="1" ref="BU153" ca="1">_FV(EC153,"Alto")</f>
        <v>40.51</v>
      </c>
      <c r="BV153" s="24"/>
      <c r="BW153" s="63">
        <f ca="1">SQRT(22.5*(BL153/VLOOKUP(BM153,Fundamentus!A:U,3,FALSE))*(BL153/VLOOKUP(BM153,Fundamentus!A:U,4,FALSE)))</f>
        <v>32.720821047518676</v>
      </c>
      <c r="BY153" s="62">
        <f t="shared" ca="1" si="168"/>
        <v>0</v>
      </c>
      <c r="BZ153" s="8"/>
      <c r="CA153" s="61">
        <f t="shared" si="169"/>
        <v>24.15</v>
      </c>
      <c r="CB153" s="61">
        <f t="shared" si="170"/>
        <v>42.44</v>
      </c>
      <c r="CC153" s="61">
        <f t="shared" si="171"/>
        <v>30.860317460317457</v>
      </c>
      <c r="CD153" s="14"/>
      <c r="CE153" s="35">
        <f t="shared" si="154"/>
        <v>38.586272920818018</v>
      </c>
      <c r="CF153" s="15">
        <f t="shared" si="172"/>
        <v>40.865999999999985</v>
      </c>
      <c r="CG153" s="35">
        <f t="shared" si="155"/>
        <v>43.145727079181952</v>
      </c>
      <c r="CI153" s="14"/>
      <c r="CJ153" s="17">
        <f t="shared" si="156"/>
        <v>11.056666666666679</v>
      </c>
      <c r="CK153" s="17">
        <f t="shared" si="157"/>
        <v>17.603333333333339</v>
      </c>
      <c r="CL153" s="17">
        <f t="shared" si="158"/>
        <v>29.346666666666678</v>
      </c>
      <c r="CM153" s="38">
        <f t="shared" si="173"/>
        <v>35.893333333333338</v>
      </c>
      <c r="CN153" s="17">
        <f t="shared" si="159"/>
        <v>47.636666666666677</v>
      </c>
      <c r="CO153" s="17">
        <f t="shared" si="160"/>
        <v>54.183333333333337</v>
      </c>
      <c r="CP153" s="17">
        <f t="shared" si="161"/>
        <v>65.926666666666677</v>
      </c>
      <c r="CQ153" s="2" cm="1">
        <f t="array" aca="1" ref="CQ153" ca="1">MAX(_xlfn._xlws.FILTER(CJ153:CP153,CJ153:CP153&lt;BL153))</f>
        <v>35.893333333333338</v>
      </c>
      <c r="CR153" s="2" cm="1">
        <f t="array" aca="1" ref="CR153" ca="1">MIN(_xlfn._xlws.FILTER($CJ153:$CP153,$CJ153:$CP153&gt;BL153))</f>
        <v>47.636666666666677</v>
      </c>
      <c r="CS153" s="16">
        <f t="shared" ca="1" si="175"/>
        <v>0.32717310549777134</v>
      </c>
      <c r="CT153" s="20">
        <f t="shared" ca="1" si="176"/>
        <v>-0.16358655274888567</v>
      </c>
      <c r="CU153" s="20">
        <f t="shared" ca="1" si="177"/>
        <v>-0.10905770183259045</v>
      </c>
      <c r="CV153" s="20">
        <f t="shared" ca="1" si="178"/>
        <v>-6.5434621099554266E-2</v>
      </c>
      <c r="CW153" s="20">
        <f t="shared" ca="1" si="179"/>
        <v>-3.6352567277530147E-2</v>
      </c>
      <c r="CX153" s="20">
        <f t="shared" ca="1" si="180"/>
        <v>-1.9245476793986551E-2</v>
      </c>
      <c r="CY153" s="20">
        <f t="shared" ca="1" si="181"/>
        <v>-9.9143365302354954E-3</v>
      </c>
      <c r="CZ153" s="20">
        <f t="shared" ca="1" si="182"/>
        <v>-5.0334323922734056E-3</v>
      </c>
      <c r="DA153" s="21">
        <f t="shared" ca="1" si="183"/>
        <v>5.0334323922734056E-3</v>
      </c>
      <c r="DB153" s="21">
        <f t="shared" ca="1" si="184"/>
        <v>9.9143365302354954E-3</v>
      </c>
      <c r="DC153" s="21">
        <f t="shared" ca="1" si="185"/>
        <v>1.9245476793986551E-2</v>
      </c>
      <c r="DD153" s="21">
        <f t="shared" ca="1" si="186"/>
        <v>3.6352567277530147E-2</v>
      </c>
      <c r="DE153" s="21">
        <f t="shared" ca="1" si="187"/>
        <v>6.5434621099554266E-2</v>
      </c>
      <c r="DF153" s="21">
        <f t="shared" ca="1" si="188"/>
        <v>0.10905770183259045</v>
      </c>
      <c r="DG153" s="21">
        <f t="shared" ca="1" si="189"/>
        <v>0.16358655274888567</v>
      </c>
      <c r="DI153" s="16" cm="1">
        <f t="array" aca="1" ref="DI153" ca="1">MAX(_xlfn._xlws.FILTER(CT153:DG153,CT153:DG153&lt;BR153))</f>
        <v>-1.9245476793986551E-2</v>
      </c>
      <c r="DJ153" s="16" cm="1">
        <f t="array" aca="1" ref="DJ153" ca="1">MIN(_xlfn._xlws.FILTER(CT153:DG153,CT153:DG153&gt;BR153))</f>
        <v>-9.9143365302354954E-3</v>
      </c>
      <c r="DK153" s="2" cm="1">
        <f t="array" aca="1" ref="DK153" ca="1">_FV(EC153,"Fechamento anterior",TRUE)</f>
        <v>40.020000000000003</v>
      </c>
      <c r="DL153" s="28">
        <f t="shared" ca="1" si="162"/>
        <v>0.911019325350093</v>
      </c>
      <c r="DM153" s="15">
        <f t="shared" ca="1" si="190"/>
        <v>39.249796018704664</v>
      </c>
      <c r="DN153" s="15">
        <f t="shared" ca="1" si="191"/>
        <v>39.623228252059981</v>
      </c>
      <c r="DO153" s="9"/>
      <c r="DP153" s="9"/>
      <c r="DQ153" s="9"/>
      <c r="DR153" s="89">
        <v>1.5965187362404726E-2</v>
      </c>
      <c r="DS153" s="89">
        <v>1.597397650266651E-2</v>
      </c>
      <c r="DT153" s="89">
        <v>4.8809041379620898E-3</v>
      </c>
      <c r="DU153" s="89">
        <v>9.3311402637510556E-3</v>
      </c>
      <c r="DV153" s="89">
        <f t="shared" ca="1" si="163"/>
        <v>9.3311402637510556E-3</v>
      </c>
      <c r="DW153" s="72">
        <f t="shared" ca="1" si="164"/>
        <v>-0.55971612200959087</v>
      </c>
      <c r="DX153" s="37"/>
      <c r="DY153" s="35">
        <f t="shared" si="174"/>
        <v>1.1398635395909835</v>
      </c>
      <c r="DZ153" s="56"/>
      <c r="EA153" s="56"/>
      <c r="EC153" s="2" t="e" vm="155">
        <v>#VALUE!</v>
      </c>
      <c r="EE153" s="10" cm="1">
        <f t="array" aca="1" ref="EE153" ca="1">_FV(EC153,"Ações em circulação",TRUE)</f>
        <v>173500000</v>
      </c>
      <c r="EF153" s="18">
        <f>VLOOKUP(BM153,Fundamentus!A:U,5,FALSE)</f>
        <v>1.9159999999999999</v>
      </c>
      <c r="EG153" s="2">
        <f t="shared" ca="1" si="165"/>
        <v>3585002609.6033411</v>
      </c>
      <c r="EH153" s="17">
        <v>752492047.75574136</v>
      </c>
      <c r="EI153" s="17">
        <f t="shared" ca="1" si="166"/>
        <v>752492047.75574136</v>
      </c>
      <c r="EK153" s="16">
        <f t="shared" ca="1" si="153"/>
        <v>0</v>
      </c>
      <c r="EL153" s="32" t="str">
        <f>IF(VLOOKUP(BM153,Fundamentus!A:U,3,FALSE)&lt;15,"Bom",IF(VLOOKUP(BM153,Fundamentus!A:U,3,FALSE)&gt;15,"Ruim","n/a"))</f>
        <v>Bom</v>
      </c>
      <c r="EM153" s="28" t="str">
        <f>IF(VLOOKUP(BM153,Fundamentus!A:U,4,FALSE)&lt;1,"Baixo",IF(VLOOKUP(BM153,Fundamentus!A:U,4,FALSE)&lt;1.5,"Moderado",IF(VLOOKUP(BM153,Fundamentus!A:U,4,FALSE)&gt;1.5,"Alto","n/a")))</f>
        <v>Alto</v>
      </c>
      <c r="EN153" s="17" t="str">
        <f>IF(VLOOKUP(BM153,Fundamentus!A:U,8,FALSE)&lt;0,"Risco elevado",IF(VLOOKUP(BM153,Fundamentus!A:U,8,FALSE)&lt;1,"Saudável",IF(VLOOKUP(BM153,Fundamentus!A:U,8,FALSE)&lt;3,"Estável",IF(VLOOKUP(BM153,Fundamentus!A:U,8,FALSE)&gt;3,"Alerta","n/a"))))</f>
        <v>Estável</v>
      </c>
      <c r="EO153" s="28" t="str">
        <f t="shared" si="167"/>
        <v>Bom</v>
      </c>
      <c r="EP153" s="17" t="str">
        <f>IF(VLOOKUP(BM153,Fundamentus!A:U,12,FALSE)&lt;2,"Subvalorizada",IF(VLOOKUP(BM153,Fundamentus!A:U,12,FALSE)&lt;6,"Muita barata",IF(VLOOKUP(BM153,Fundamentus!A:U,12,FALSE)&lt;6,"Barata",IF(VLOOKUP(BM153,Fundamentus!A:U,12,FALSE)&lt;8,"Atrativa",IF(VLOOKUP(BM153,Fundamentus!A:U,12,FALSE)&gt;8,"Supervalorizada","n/a")))))</f>
        <v>Supervalorizada</v>
      </c>
      <c r="ER153" s="17" t="str">
        <f>IF(VLOOKUP(BM153,Fundamentus!A:U,17,FALSE)&lt;0.1,"Fraco retorno",IF(VLOOKUP(BM153,Fundamentus!A:U,17,FALSE)&gt;0.1,"Bom retorno","n/a"))</f>
        <v>Bom retorno</v>
      </c>
      <c r="ES153" s="17" t="str">
        <f>IF(VLOOKUP(BM153,Fundamentus!A:U,16,FALSE)&lt;0.1,"Ineficiente",IF(VLOOKUP(BM153,Fundamentus!A:U,16,FALSE)&gt;0.1,"Eficiente","n/a"))</f>
        <v>Ineficiente</v>
      </c>
      <c r="ET153" s="33" t="str">
        <f>IF(VLOOKUP(BM153,Fundamentus!A:U,16,FALSE)&lt;0.1,"Oper. Ineficiente",IF(VLOOKUP(BM153,Fundamentus!A:U,16,FALSE)&gt;0.1,"Oper.Eficiente","n/a"))</f>
        <v>Oper. Ineficiente</v>
      </c>
      <c r="EU153" s="34">
        <f>VLOOKUP(BM153,Fundamentus!A:U,14,FALSE)</f>
        <v>0.2099</v>
      </c>
      <c r="EV153" s="17" t="str">
        <f>IF(VLOOKUP(BM153,Fundamentus!A:U,21,FALSE)&lt;0,"Negativo",IF(VLOOKUP(BM153,Fundamentus!A:U,21,FALSE)&lt;0.05,"Fraco",IF(VLOOKUP(BM153,Fundamentus!A:U,21,FALSE)&lt;0.1,"Bom",IF(VLOOKUP(BM153,Fundamentus!A:U,21,FALSE)&gt;0.1,"Muito bom","n/a"))))</f>
        <v>Muito bom</v>
      </c>
      <c r="EX153" s="29" t="str">
        <f>IF(VLOOKUP(BM153,Fundamentus!A:U,15,FALSE)&gt;1,"Bom",IF(VLOOKUP(BM153,Fundamentus!A:U,15,FALSE)&lt;1,"Ruim","n/a"))</f>
        <v>Bom</v>
      </c>
      <c r="EY153" s="17" t="str">
        <f>IF(VLOOKUP(BM153,Fundamentus!A:U,20,FALSE)&lt;0.5,"Baixa",IF(VLOOKUP(BM153,Fundamentus!A:U,20,FALSE)&lt;1,"Moderada",IF(VLOOKUP(BM153,Fundamentus!A:U,20,FALSE)&lt;2,"Alerta",IF(VLOOKUP(BM153,Fundamentus!A:U,20,FALSE)&gt;2,"Alta","n/a"))))</f>
        <v>Moderada</v>
      </c>
      <c r="EZ153" s="10">
        <v>2</v>
      </c>
    </row>
    <row r="154" spans="1:156" s="2" customFormat="1" ht="11.25" x14ac:dyDescent="0.2">
      <c r="A154" s="4">
        <v>13.02</v>
      </c>
      <c r="B154" s="4">
        <v>12.81</v>
      </c>
      <c r="C154" s="4">
        <v>11.57</v>
      </c>
      <c r="D154" s="4">
        <v>11.21</v>
      </c>
      <c r="E154" s="4">
        <v>10.72</v>
      </c>
      <c r="F154" s="4">
        <v>10.75</v>
      </c>
      <c r="G154" s="4">
        <v>10.71</v>
      </c>
      <c r="H154" s="4">
        <v>11.43</v>
      </c>
      <c r="I154" s="4">
        <v>11.87</v>
      </c>
      <c r="J154" s="4">
        <v>11.97</v>
      </c>
      <c r="K154" s="4">
        <v>11.84</v>
      </c>
      <c r="L154" s="4">
        <v>11.88</v>
      </c>
      <c r="M154" s="4">
        <v>12.25</v>
      </c>
      <c r="N154" s="4">
        <v>12.04</v>
      </c>
      <c r="O154" s="4">
        <v>11.67</v>
      </c>
      <c r="P154" s="4">
        <v>11.69</v>
      </c>
      <c r="Q154" s="4">
        <v>11.7</v>
      </c>
      <c r="R154" s="4">
        <v>11.57</v>
      </c>
      <c r="S154" s="4">
        <v>11.55</v>
      </c>
      <c r="T154" s="4">
        <v>11.47</v>
      </c>
      <c r="U154" s="4">
        <v>11.25</v>
      </c>
      <c r="V154" s="4">
        <v>11.11</v>
      </c>
      <c r="W154" s="4">
        <v>10.51</v>
      </c>
      <c r="X154" s="4">
        <v>10.29</v>
      </c>
      <c r="Y154" s="4">
        <v>10.16</v>
      </c>
      <c r="Z154" s="4">
        <v>10.06</v>
      </c>
      <c r="AA154" s="4">
        <v>9.93</v>
      </c>
      <c r="AB154" s="4">
        <v>11.55</v>
      </c>
      <c r="AC154" s="4">
        <v>11.63</v>
      </c>
      <c r="AD154" s="4">
        <v>11.52</v>
      </c>
      <c r="AE154" s="4">
        <v>11.73</v>
      </c>
      <c r="AF154" s="4">
        <v>12.44</v>
      </c>
      <c r="AG154" s="4">
        <v>11.85</v>
      </c>
      <c r="AH154" s="4">
        <v>11.57</v>
      </c>
      <c r="AI154" s="4">
        <v>11.41</v>
      </c>
      <c r="AJ154" s="4">
        <v>11.08</v>
      </c>
      <c r="AK154" s="4">
        <v>12.45</v>
      </c>
      <c r="AL154" s="4">
        <v>13.53</v>
      </c>
      <c r="AM154" s="4">
        <v>13.42</v>
      </c>
      <c r="AN154" s="4">
        <v>13.6</v>
      </c>
      <c r="AO154" s="4">
        <v>13.24</v>
      </c>
      <c r="AP154" s="4">
        <v>13.3</v>
      </c>
      <c r="AQ154" s="4">
        <v>13.18</v>
      </c>
      <c r="AR154" s="4">
        <v>12.74</v>
      </c>
      <c r="AS154" s="4">
        <v>13.16</v>
      </c>
      <c r="AT154" s="4">
        <v>13.63</v>
      </c>
      <c r="AU154" s="4">
        <v>12.93</v>
      </c>
      <c r="AV154" s="4">
        <v>11.75</v>
      </c>
      <c r="AW154" s="4">
        <v>11.79</v>
      </c>
      <c r="AX154" s="4">
        <v>10.9</v>
      </c>
      <c r="AY154" s="12">
        <v>11.37</v>
      </c>
      <c r="AZ154" s="12">
        <v>12.63</v>
      </c>
      <c r="BA154" s="12">
        <v>12.32</v>
      </c>
      <c r="BB154" s="15">
        <v>12.06</v>
      </c>
      <c r="BC154" s="52">
        <v>12.36</v>
      </c>
      <c r="BD154" s="52">
        <v>12.04</v>
      </c>
      <c r="BE154" s="52">
        <v>12.15</v>
      </c>
      <c r="BF154" s="52">
        <v>12.59</v>
      </c>
      <c r="BG154" s="67">
        <v>13.1</v>
      </c>
      <c r="BH154" s="52">
        <v>12.9</v>
      </c>
      <c r="BI154" s="52">
        <v>13.36</v>
      </c>
      <c r="BJ154" s="52">
        <v>13.41</v>
      </c>
      <c r="BK154" s="52">
        <v>13.5</v>
      </c>
      <c r="BL154" s="52" cm="1">
        <f t="array" aca="1" ref="BL154" ca="1">_FV(EC154,"Preço")</f>
        <v>13.5</v>
      </c>
      <c r="BM154" s="69" t="s">
        <v>150</v>
      </c>
      <c r="BN154" s="36" cm="1">
        <f t="array" aca="1" ref="BN154" ca="1">_FV(EC154,"Média de volume",TRUE)</f>
        <v>709100</v>
      </c>
      <c r="BO154" s="36">
        <v>1070100</v>
      </c>
      <c r="BP154" s="36" cm="1">
        <f t="array" aca="1" ref="BP154" ca="1">_FV(EC154,"Volume")</f>
        <v>1070100</v>
      </c>
      <c r="BQ154" s="24" cm="1">
        <f t="array" aca="1" ref="BQ154" ca="1">_FV(EC154,"Beta")</f>
        <v>0.4375</v>
      </c>
      <c r="BR154" s="71" cm="1">
        <f t="array" aca="1" ref="BR154" ca="1">_FV(EC154,"Variação (%)",TRUE)</f>
        <v>2.6616000000000001E-2</v>
      </c>
      <c r="BT154" s="17" cm="1">
        <f t="array" aca="1" ref="BT154" ca="1">_FV(EC154,"Baixo")</f>
        <v>12.98</v>
      </c>
      <c r="BU154" s="17" cm="1">
        <f t="array" aca="1" ref="BU154" ca="1">_FV(EC154,"Alto")</f>
        <v>13.56</v>
      </c>
      <c r="BV154" s="24"/>
      <c r="BW154" s="63">
        <f ca="1">SQRT(22.5*(BL154/VLOOKUP(BM154,Fundamentus!A:U,3,FALSE))*(BL154/VLOOKUP(BM154,Fundamentus!A:U,4,FALSE)))</f>
        <v>31.239734855511163</v>
      </c>
      <c r="BY154" s="62">
        <f t="shared" ca="1" si="168"/>
        <v>0</v>
      </c>
      <c r="BZ154" s="8"/>
      <c r="CA154" s="61">
        <f t="shared" si="169"/>
        <v>9.93</v>
      </c>
      <c r="CB154" s="61">
        <f t="shared" si="170"/>
        <v>13.63</v>
      </c>
      <c r="CC154" s="61">
        <f t="shared" si="171"/>
        <v>11.987619047619047</v>
      </c>
      <c r="CD154" s="14"/>
      <c r="CE154" s="35">
        <f t="shared" si="154"/>
        <v>12.745972961796165</v>
      </c>
      <c r="CF154" s="15">
        <f t="shared" si="172"/>
        <v>13.384999999999991</v>
      </c>
      <c r="CG154" s="35">
        <f t="shared" si="155"/>
        <v>14.024027038203817</v>
      </c>
      <c r="CI154" s="14"/>
      <c r="CJ154" s="17">
        <f t="shared" si="156"/>
        <v>7.3166666666666629</v>
      </c>
      <c r="CK154" s="17">
        <f t="shared" si="157"/>
        <v>8.6233333333333313</v>
      </c>
      <c r="CL154" s="17">
        <f t="shared" si="158"/>
        <v>11.016666666666664</v>
      </c>
      <c r="CM154" s="38">
        <f t="shared" si="173"/>
        <v>12.323333333333332</v>
      </c>
      <c r="CN154" s="17">
        <f t="shared" si="159"/>
        <v>14.716666666666665</v>
      </c>
      <c r="CO154" s="17">
        <f t="shared" si="160"/>
        <v>16.023333333333333</v>
      </c>
      <c r="CP154" s="17">
        <f t="shared" si="161"/>
        <v>18.416666666666664</v>
      </c>
      <c r="CQ154" s="2" cm="1">
        <f t="array" aca="1" ref="CQ154" ca="1">MAX(_xlfn._xlws.FILTER(CJ154:CP154,CJ154:CP154&lt;BL154))</f>
        <v>12.323333333333332</v>
      </c>
      <c r="CR154" s="2" cm="1">
        <f t="array" aca="1" ref="CR154" ca="1">MIN(_xlfn._xlws.FILTER($CJ154:$CP154,$CJ154:$CP154&gt;BL154))</f>
        <v>14.716666666666665</v>
      </c>
      <c r="CS154" s="16">
        <f t="shared" ca="1" si="175"/>
        <v>0.19421152285636989</v>
      </c>
      <c r="CT154" s="20">
        <f t="shared" ca="1" si="176"/>
        <v>-9.7105761428184945E-2</v>
      </c>
      <c r="CU154" s="20">
        <f t="shared" ca="1" si="177"/>
        <v>-6.4737174285456625E-2</v>
      </c>
      <c r="CV154" s="20">
        <f t="shared" ca="1" si="178"/>
        <v>-3.8842304571273981E-2</v>
      </c>
      <c r="CW154" s="20">
        <f t="shared" ca="1" si="179"/>
        <v>-2.1579058095152211E-2</v>
      </c>
      <c r="CX154" s="20">
        <f t="shared" ca="1" si="180"/>
        <v>-1.1424207226845288E-2</v>
      </c>
      <c r="CY154" s="20">
        <f t="shared" ca="1" si="181"/>
        <v>-5.885197662314239E-3</v>
      </c>
      <c r="CZ154" s="20">
        <f t="shared" ca="1" si="182"/>
        <v>-2.9878695824056907E-3</v>
      </c>
      <c r="DA154" s="21">
        <f t="shared" ca="1" si="183"/>
        <v>2.9878695824056907E-3</v>
      </c>
      <c r="DB154" s="21">
        <f t="shared" ca="1" si="184"/>
        <v>5.885197662314239E-3</v>
      </c>
      <c r="DC154" s="21">
        <f t="shared" ca="1" si="185"/>
        <v>1.1424207226845288E-2</v>
      </c>
      <c r="DD154" s="21">
        <f t="shared" ca="1" si="186"/>
        <v>2.1579058095152211E-2</v>
      </c>
      <c r="DE154" s="21">
        <f t="shared" ca="1" si="187"/>
        <v>3.8842304571273981E-2</v>
      </c>
      <c r="DF154" s="21">
        <f t="shared" ca="1" si="188"/>
        <v>6.4737174285456625E-2</v>
      </c>
      <c r="DG154" s="21">
        <f t="shared" ca="1" si="189"/>
        <v>9.7105761428184945E-2</v>
      </c>
      <c r="DI154" s="16" cm="1">
        <f t="array" aca="1" ref="DI154" ca="1">MAX(_xlfn._xlws.FILTER(CT154:DG154,CT154:DG154&lt;BR154))</f>
        <v>2.1579058095152211E-2</v>
      </c>
      <c r="DJ154" s="16" cm="1">
        <f t="array" aca="1" ref="DJ154" ca="1">MIN(_xlfn._xlws.FILTER(CT154:DG154,CT154:DG154&gt;BR154))</f>
        <v>3.8842304571273981E-2</v>
      </c>
      <c r="DK154" s="2" cm="1">
        <f t="array" aca="1" ref="DK154" ca="1">_FV(EC154,"Fechamento anterior",TRUE)</f>
        <v>13.15</v>
      </c>
      <c r="DL154" s="28">
        <f t="shared" ca="1" si="162"/>
        <v>0.29177081457787984</v>
      </c>
      <c r="DM154" s="15">
        <f t="shared" ca="1" si="190"/>
        <v>13.433764613951253</v>
      </c>
      <c r="DN154" s="15">
        <f t="shared" ca="1" si="191"/>
        <v>13.660776305112254</v>
      </c>
      <c r="DO154" s="9"/>
      <c r="DP154" s="9"/>
      <c r="DQ154" s="9"/>
      <c r="DR154" s="89">
        <v>5.2939909499263695E-3</v>
      </c>
      <c r="DS154" s="89">
        <v>9.7985730025780052E-3</v>
      </c>
      <c r="DT154" s="89">
        <v>2.8973280799085483E-3</v>
      </c>
      <c r="DU154" s="89">
        <v>1.726324647612177E-2</v>
      </c>
      <c r="DV154" s="89">
        <f t="shared" ca="1" si="163"/>
        <v>1.726324647612177E-2</v>
      </c>
      <c r="DW154" s="72">
        <f t="shared" ca="1" si="164"/>
        <v>0.17996108634659724</v>
      </c>
      <c r="DX154" s="37"/>
      <c r="DY154" s="35">
        <f t="shared" si="174"/>
        <v>0.3195135191019135</v>
      </c>
      <c r="DZ154" s="56"/>
      <c r="EA154" s="56"/>
      <c r="EC154" s="2" t="e" vm="156">
        <v>#VALUE!</v>
      </c>
      <c r="EE154" s="10" cm="1">
        <f t="array" aca="1" ref="EE154" ca="1">_FV(EC154,"Ações em circulação",TRUE)</f>
        <v>153719600</v>
      </c>
      <c r="EF154" s="18">
        <f>VLOOKUP(BM154,Fundamentus!A:U,5,FALSE)</f>
        <v>0.128</v>
      </c>
      <c r="EG154" s="2">
        <f t="shared" ca="1" si="165"/>
        <v>16212614062.5</v>
      </c>
      <c r="EH154" s="17">
        <v>345328679.53125</v>
      </c>
      <c r="EI154" s="17">
        <f t="shared" ca="1" si="166"/>
        <v>345328679.53125</v>
      </c>
      <c r="EK154" s="16">
        <f t="shared" ca="1" si="153"/>
        <v>0</v>
      </c>
      <c r="EL154" s="32" t="str">
        <f>IF(VLOOKUP(BM154,Fundamentus!A:U,3,FALSE)&lt;15,"Bom",IF(VLOOKUP(BM154,Fundamentus!A:U,3,FALSE)&gt;15,"Ruim","n/a"))</f>
        <v>Bom</v>
      </c>
      <c r="EM154" s="28" t="str">
        <f>IF(VLOOKUP(BM154,Fundamentus!A:U,4,FALSE)&lt;1,"Baixo",IF(VLOOKUP(BM154,Fundamentus!A:U,4,FALSE)&lt;1.5,"Moderado",IF(VLOOKUP(BM154,Fundamentus!A:U,4,FALSE)&gt;1.5,"Alto","n/a")))</f>
        <v>Baixo</v>
      </c>
      <c r="EN154" s="17" t="str">
        <f>IF(VLOOKUP(BM154,Fundamentus!A:U,8,FALSE)&lt;0,"Risco elevado",IF(VLOOKUP(BM154,Fundamentus!A:U,8,FALSE)&lt;1,"Saudável",IF(VLOOKUP(BM154,Fundamentus!A:U,8,FALSE)&lt;3,"Estável",IF(VLOOKUP(BM154,Fundamentus!A:U,8,FALSE)&gt;3,"Alerta","n/a"))))</f>
        <v>Saudável</v>
      </c>
      <c r="EO154" s="28" t="str">
        <f t="shared" si="167"/>
        <v>Ruim</v>
      </c>
      <c r="EP154" s="17" t="str">
        <f>IF(VLOOKUP(BM154,Fundamentus!A:U,12,FALSE)&lt;2,"Subvalorizada",IF(VLOOKUP(BM154,Fundamentus!A:U,12,FALSE)&lt;6,"Muita barata",IF(VLOOKUP(BM154,Fundamentus!A:U,12,FALSE)&lt;6,"Barata",IF(VLOOKUP(BM154,Fundamentus!A:U,12,FALSE)&lt;8,"Atrativa",IF(VLOOKUP(BM154,Fundamentus!A:U,12,FALSE)&gt;8,"Supervalorizada","n/a")))))</f>
        <v>Muita barata</v>
      </c>
      <c r="ER154" s="17" t="str">
        <f>IF(VLOOKUP(BM154,Fundamentus!A:U,17,FALSE)&lt;0.1,"Fraco retorno",IF(VLOOKUP(BM154,Fundamentus!A:U,17,FALSE)&gt;0.1,"Bom retorno","n/a"))</f>
        <v>Fraco retorno</v>
      </c>
      <c r="ES154" s="17" t="str">
        <f>IF(VLOOKUP(BM154,Fundamentus!A:U,16,FALSE)&lt;0.1,"Ineficiente",IF(VLOOKUP(BM154,Fundamentus!A:U,16,FALSE)&gt;0.1,"Eficiente","n/a"))</f>
        <v>Ineficiente</v>
      </c>
      <c r="ET154" s="33" t="str">
        <f>IF(VLOOKUP(BM154,Fundamentus!A:U,16,FALSE)&lt;0.1,"Oper. Ineficiente",IF(VLOOKUP(BM154,Fundamentus!A:U,16,FALSE)&gt;0.1,"Oper.Eficiente","n/a"))</f>
        <v>Oper. Ineficiente</v>
      </c>
      <c r="EU154" s="34">
        <f>VLOOKUP(BM154,Fundamentus!A:U,14,FALSE)</f>
        <v>2.1299999999999999E-2</v>
      </c>
      <c r="EV154" s="17" t="str">
        <f>IF(VLOOKUP(BM154,Fundamentus!A:U,21,FALSE)&lt;0,"Negativo",IF(VLOOKUP(BM154,Fundamentus!A:U,21,FALSE)&lt;0.05,"Fraco",IF(VLOOKUP(BM154,Fundamentus!A:U,21,FALSE)&lt;0.1,"Bom",IF(VLOOKUP(BM154,Fundamentus!A:U,21,FALSE)&gt;0.1,"Muito bom","n/a"))))</f>
        <v>Bom</v>
      </c>
      <c r="EX154" s="29" t="str">
        <f>IF(VLOOKUP(BM154,Fundamentus!A:U,15,FALSE)&gt;1,"Bom",IF(VLOOKUP(BM154,Fundamentus!A:U,15,FALSE)&lt;1,"Ruim","n/a"))</f>
        <v>Bom</v>
      </c>
      <c r="EY154" s="17" t="str">
        <f>IF(VLOOKUP(BM154,Fundamentus!A:U,20,FALSE)&lt;0.5,"Baixa",IF(VLOOKUP(BM154,Fundamentus!A:U,20,FALSE)&lt;1,"Moderada",IF(VLOOKUP(BM154,Fundamentus!A:U,20,FALSE)&lt;2,"Alerta",IF(VLOOKUP(BM154,Fundamentus!A:U,20,FALSE)&gt;2,"Alta","n/a"))))</f>
        <v>Alerta</v>
      </c>
      <c r="EZ154" s="10"/>
    </row>
    <row r="155" spans="1:156" s="2" customFormat="1" ht="11.25" x14ac:dyDescent="0.2">
      <c r="A155" s="4">
        <v>26.82</v>
      </c>
      <c r="B155" s="4">
        <v>30.27</v>
      </c>
      <c r="C155" s="4">
        <v>31.1</v>
      </c>
      <c r="D155" s="4">
        <v>29</v>
      </c>
      <c r="E155" s="4">
        <v>27.3</v>
      </c>
      <c r="F155" s="4">
        <v>26.91</v>
      </c>
      <c r="G155" s="4">
        <v>26.93</v>
      </c>
      <c r="H155" s="4">
        <v>26.35</v>
      </c>
      <c r="I155" s="4">
        <v>27.01</v>
      </c>
      <c r="J155" s="4">
        <v>27.7</v>
      </c>
      <c r="K155" s="4">
        <v>28.94</v>
      </c>
      <c r="L155" s="4">
        <v>28.1</v>
      </c>
      <c r="M155" s="4">
        <v>28.08</v>
      </c>
      <c r="N155" s="4">
        <v>27.98</v>
      </c>
      <c r="O155" s="4">
        <v>29.68</v>
      </c>
      <c r="P155" s="4">
        <v>31.76</v>
      </c>
      <c r="Q155" s="4">
        <v>33.57</v>
      </c>
      <c r="R155" s="4">
        <v>31.93</v>
      </c>
      <c r="S155" s="4">
        <v>33.35</v>
      </c>
      <c r="T155" s="4">
        <v>34.76</v>
      </c>
      <c r="U155" s="4">
        <v>32.58</v>
      </c>
      <c r="V155" s="4">
        <v>31.51</v>
      </c>
      <c r="W155" s="4">
        <v>30.56</v>
      </c>
      <c r="X155" s="4">
        <v>29.96</v>
      </c>
      <c r="Y155" s="4">
        <v>29.11</v>
      </c>
      <c r="Z155" s="4">
        <v>29.12</v>
      </c>
      <c r="AA155" s="4">
        <v>28.77</v>
      </c>
      <c r="AB155" s="4">
        <v>28.68</v>
      </c>
      <c r="AC155" s="4">
        <v>29.5</v>
      </c>
      <c r="AD155" s="4">
        <v>29.11</v>
      </c>
      <c r="AE155" s="4">
        <v>27.05</v>
      </c>
      <c r="AF155" s="4">
        <v>27.4</v>
      </c>
      <c r="AG155" s="4">
        <v>26.82</v>
      </c>
      <c r="AH155" s="4">
        <v>26.16</v>
      </c>
      <c r="AI155" s="4">
        <v>25.28</v>
      </c>
      <c r="AJ155" s="4">
        <v>25.15</v>
      </c>
      <c r="AK155" s="4">
        <v>26.27</v>
      </c>
      <c r="AL155" s="4">
        <v>26.71</v>
      </c>
      <c r="AM155" s="4">
        <v>28.01</v>
      </c>
      <c r="AN155" s="4">
        <v>27.95</v>
      </c>
      <c r="AO155" s="4">
        <v>28.15</v>
      </c>
      <c r="AP155" s="4">
        <v>29.47</v>
      </c>
      <c r="AQ155" s="4">
        <v>29.68</v>
      </c>
      <c r="AR155" s="4">
        <v>27.19</v>
      </c>
      <c r="AS155" s="4">
        <v>28.14</v>
      </c>
      <c r="AT155" s="4">
        <v>28.33</v>
      </c>
      <c r="AU155" s="4">
        <v>28.635000000000002</v>
      </c>
      <c r="AV155" s="4">
        <v>28.82</v>
      </c>
      <c r="AW155" s="4">
        <v>28.62</v>
      </c>
      <c r="AX155" s="4">
        <v>29.06</v>
      </c>
      <c r="AY155" s="12">
        <v>29.87</v>
      </c>
      <c r="AZ155" s="12">
        <v>31.42</v>
      </c>
      <c r="BA155" s="12">
        <v>32.020000000000003</v>
      </c>
      <c r="BB155" s="15">
        <v>33.700000000000003</v>
      </c>
      <c r="BC155" s="52">
        <v>35.229999999999997</v>
      </c>
      <c r="BD155" s="52">
        <v>36.9</v>
      </c>
      <c r="BE155" s="52">
        <v>37.78</v>
      </c>
      <c r="BF155" s="52">
        <v>35.840000000000003</v>
      </c>
      <c r="BG155" s="67">
        <v>35.1</v>
      </c>
      <c r="BH155" s="52">
        <v>34.799999999999997</v>
      </c>
      <c r="BI155" s="52">
        <v>34.9</v>
      </c>
      <c r="BJ155" s="52">
        <v>34.93</v>
      </c>
      <c r="BK155" s="52">
        <v>33.299999999999997</v>
      </c>
      <c r="BL155" s="52" cm="1">
        <f t="array" aca="1" ref="BL155" ca="1">_FV(EC155,"Preço")</f>
        <v>33.299999999999997</v>
      </c>
      <c r="BM155" s="69" t="s">
        <v>176</v>
      </c>
      <c r="BN155" s="36" cm="1">
        <f t="array" aca="1" ref="BN155" ca="1">_FV(EC155,"Média de volume",TRUE)</f>
        <v>5305770</v>
      </c>
      <c r="BO155" s="36">
        <v>6454500</v>
      </c>
      <c r="BP155" s="36" cm="1">
        <f t="array" aca="1" ref="BP155" ca="1">_FV(EC155,"Volume")</f>
        <v>6454500</v>
      </c>
      <c r="BQ155" s="24" cm="1">
        <f t="array" aca="1" ref="BQ155" ca="1">_FV(EC155,"Beta")</f>
        <v>1.5219</v>
      </c>
      <c r="BR155" s="71" cm="1">
        <f t="array" aca="1" ref="BR155" ca="1">_FV(EC155,"Variação (%)",TRUE)</f>
        <v>-1.5084E-2</v>
      </c>
      <c r="BT155" s="17" cm="1">
        <f t="array" aca="1" ref="BT155" ca="1">_FV(EC155,"Baixo")</f>
        <v>32.93</v>
      </c>
      <c r="BU155" s="17" cm="1">
        <f t="array" aca="1" ref="BU155" ca="1">_FV(EC155,"Alto")</f>
        <v>33.729999999999997</v>
      </c>
      <c r="BV155" s="24"/>
      <c r="BW155" s="63">
        <f ca="1">SQRT(22.5*(BL155/VLOOKUP(BM155,Fundamentus!A:U,3,FALSE))*(BL155/VLOOKUP(BM155,Fundamentus!A:U,4,FALSE)))</f>
        <v>19.873320169773379</v>
      </c>
      <c r="BY155" s="62">
        <f t="shared" ca="1" si="168"/>
        <v>0</v>
      </c>
      <c r="BZ155" s="8"/>
      <c r="CA155" s="61">
        <f t="shared" si="169"/>
        <v>25.15</v>
      </c>
      <c r="CB155" s="61">
        <f t="shared" si="170"/>
        <v>37.78</v>
      </c>
      <c r="CC155" s="61">
        <f t="shared" si="171"/>
        <v>29.922619047619047</v>
      </c>
      <c r="CD155" s="14"/>
      <c r="CE155" s="35">
        <f t="shared" si="154"/>
        <v>32.742934184952539</v>
      </c>
      <c r="CF155" s="15">
        <f t="shared" si="172"/>
        <v>34.259000000000015</v>
      </c>
      <c r="CG155" s="35">
        <f t="shared" si="155"/>
        <v>35.775065815047491</v>
      </c>
      <c r="CI155" s="14"/>
      <c r="CJ155" s="17">
        <f t="shared" si="156"/>
        <v>14.829999999999991</v>
      </c>
      <c r="CK155" s="17">
        <f t="shared" si="157"/>
        <v>19.989999999999995</v>
      </c>
      <c r="CL155" s="17">
        <f t="shared" si="158"/>
        <v>27.459999999999994</v>
      </c>
      <c r="CM155" s="38">
        <f t="shared" si="173"/>
        <v>32.619999999999997</v>
      </c>
      <c r="CN155" s="17">
        <f t="shared" si="159"/>
        <v>40.089999999999996</v>
      </c>
      <c r="CO155" s="17">
        <f t="shared" si="160"/>
        <v>45.25</v>
      </c>
      <c r="CP155" s="17">
        <f t="shared" si="161"/>
        <v>52.72</v>
      </c>
      <c r="CQ155" s="2" cm="1">
        <f t="array" aca="1" ref="CQ155" ca="1">MAX(_xlfn._xlws.FILTER(CJ155:CP155,CJ155:CP155&lt;BL155))</f>
        <v>32.619999999999997</v>
      </c>
      <c r="CR155" s="2" cm="1">
        <f t="array" aca="1" ref="CR155" ca="1">MIN(_xlfn._xlws.FILTER($CJ155:$CP155,$CJ155:$CP155&gt;BL155))</f>
        <v>40.089999999999996</v>
      </c>
      <c r="CS155" s="16">
        <f t="shared" ca="1" si="175"/>
        <v>0.22900061312078468</v>
      </c>
      <c r="CT155" s="20">
        <f t="shared" ca="1" si="176"/>
        <v>-0.11450030656039234</v>
      </c>
      <c r="CU155" s="20">
        <f t="shared" ca="1" si="177"/>
        <v>-7.6333537706928231E-2</v>
      </c>
      <c r="CV155" s="20">
        <f t="shared" ca="1" si="178"/>
        <v>-4.5800122624156933E-2</v>
      </c>
      <c r="CW155" s="20">
        <f t="shared" ca="1" si="179"/>
        <v>-2.5444512568976077E-2</v>
      </c>
      <c r="CX155" s="20">
        <f t="shared" ca="1" si="180"/>
        <v>-1.3470624301222629E-2</v>
      </c>
      <c r="CY155" s="20">
        <f t="shared" ca="1" si="181"/>
        <v>-6.9394125188116567E-3</v>
      </c>
      <c r="CZ155" s="20">
        <f t="shared" ca="1" si="182"/>
        <v>-3.5230863557043795E-3</v>
      </c>
      <c r="DA155" s="21">
        <f t="shared" ca="1" si="183"/>
        <v>3.5230863557043795E-3</v>
      </c>
      <c r="DB155" s="21">
        <f t="shared" ca="1" si="184"/>
        <v>6.9394125188116567E-3</v>
      </c>
      <c r="DC155" s="21">
        <f t="shared" ca="1" si="185"/>
        <v>1.3470624301222629E-2</v>
      </c>
      <c r="DD155" s="21">
        <f t="shared" ca="1" si="186"/>
        <v>2.5444512568976077E-2</v>
      </c>
      <c r="DE155" s="21">
        <f t="shared" ca="1" si="187"/>
        <v>4.5800122624156933E-2</v>
      </c>
      <c r="DF155" s="21">
        <f t="shared" ca="1" si="188"/>
        <v>7.6333537706928231E-2</v>
      </c>
      <c r="DG155" s="21">
        <f t="shared" ca="1" si="189"/>
        <v>0.11450030656039234</v>
      </c>
      <c r="DI155" s="16" cm="1">
        <f t="array" aca="1" ref="DI155" ca="1">MAX(_xlfn._xlws.FILTER(CT155:DG155,CT155:DG155&lt;BR155))</f>
        <v>-2.5444512568976077E-2</v>
      </c>
      <c r="DJ155" s="16" cm="1">
        <f t="array" aca="1" ref="DJ155" ca="1">MIN(_xlfn._xlws.FILTER(CT155:DG155,CT155:DG155&gt;BR155))</f>
        <v>-1.3470624301222629E-2</v>
      </c>
      <c r="DK155" s="2" cm="1">
        <f t="array" aca="1" ref="DK155" ca="1">_FV(EC155,"Fechamento anterior",TRUE)</f>
        <v>33.81</v>
      </c>
      <c r="DL155" s="28">
        <f t="shared" ca="1" si="162"/>
        <v>0.86523422884082024</v>
      </c>
      <c r="DM155" s="15">
        <f t="shared" ca="1" si="190"/>
        <v>32.949721030042923</v>
      </c>
      <c r="DN155" s="15">
        <f t="shared" ca="1" si="191"/>
        <v>33.354558192375663</v>
      </c>
      <c r="DO155" s="9"/>
      <c r="DP155" s="9"/>
      <c r="DQ155" s="9"/>
      <c r="DR155" s="89">
        <v>6.4661083515141233E-3</v>
      </c>
      <c r="DS155" s="89">
        <v>3.4362726599796918E-3</v>
      </c>
      <c r="DT155" s="89">
        <v>6.5312117824109723E-3</v>
      </c>
      <c r="DU155" s="89">
        <v>1.1973888267753448E-2</v>
      </c>
      <c r="DV155" s="89">
        <f t="shared" ca="1" si="163"/>
        <v>1.1973888267753448E-2</v>
      </c>
      <c r="DW155" s="72">
        <f t="shared" ca="1" si="164"/>
        <v>-0.63255829033384414</v>
      </c>
      <c r="DX155" s="37"/>
      <c r="DY155" s="35">
        <f t="shared" si="174"/>
        <v>0.75803290752373786</v>
      </c>
      <c r="DZ155" s="56"/>
      <c r="EA155" s="56"/>
      <c r="EC155" s="2" t="e" vm="157">
        <v>#VALUE!</v>
      </c>
      <c r="EE155" s="10" cm="1">
        <f t="array" aca="1" ref="EE155" ca="1">_FV(EC155,"Ações em circulação",TRUE)</f>
        <v>2289292000</v>
      </c>
      <c r="EF155" s="18">
        <f>VLOOKUP(BM155,Fundamentus!A:U,5,FALSE)</f>
        <v>1.5649999999999999</v>
      </c>
      <c r="EG155" s="2">
        <f t="shared" ca="1" si="165"/>
        <v>48711452779.552719</v>
      </c>
      <c r="EH155" s="17">
        <v>3950498820.4217257</v>
      </c>
      <c r="EI155" s="17">
        <f t="shared" ca="1" si="166"/>
        <v>3950498820.4217257</v>
      </c>
      <c r="EK155" s="16">
        <f t="shared" ca="1" si="153"/>
        <v>0</v>
      </c>
      <c r="EL155" s="32" t="str">
        <f>IF(VLOOKUP(BM155,Fundamentus!A:U,3,FALSE)&lt;15,"Bom",IF(VLOOKUP(BM155,Fundamentus!A:U,3,FALSE)&gt;15,"Ruim","n/a"))</f>
        <v>Ruim</v>
      </c>
      <c r="EM155" s="28" t="str">
        <f>IF(VLOOKUP(BM155,Fundamentus!A:U,4,FALSE)&lt;1,"Baixo",IF(VLOOKUP(BM155,Fundamentus!A:U,4,FALSE)&lt;1.5,"Moderado",IF(VLOOKUP(BM155,Fundamentus!A:U,4,FALSE)&gt;1.5,"Alto","n/a")))</f>
        <v>Alto</v>
      </c>
      <c r="EN155" s="17" t="str">
        <f>IF(VLOOKUP(BM155,Fundamentus!A:U,8,FALSE)&lt;0,"Risco elevado",IF(VLOOKUP(BM155,Fundamentus!A:U,8,FALSE)&lt;1,"Saudável",IF(VLOOKUP(BM155,Fundamentus!A:U,8,FALSE)&lt;3,"Estável",IF(VLOOKUP(BM155,Fundamentus!A:U,8,FALSE)&gt;3,"Alerta","n/a"))))</f>
        <v>Estável</v>
      </c>
      <c r="EO155" s="28" t="str">
        <f t="shared" si="167"/>
        <v>Bom</v>
      </c>
      <c r="EP155" s="17" t="str">
        <f>IF(VLOOKUP(BM155,Fundamentus!A:U,12,FALSE)&lt;2,"Subvalorizada",IF(VLOOKUP(BM155,Fundamentus!A:U,12,FALSE)&lt;6,"Muita barata",IF(VLOOKUP(BM155,Fundamentus!A:U,12,FALSE)&lt;6,"Barata",IF(VLOOKUP(BM155,Fundamentus!A:U,12,FALSE)&lt;8,"Atrativa",IF(VLOOKUP(BM155,Fundamentus!A:U,12,FALSE)&gt;8,"Supervalorizada","n/a")))))</f>
        <v>Supervalorizada</v>
      </c>
      <c r="ER155" s="17" t="str">
        <f>IF(VLOOKUP(BM155,Fundamentus!A:U,17,FALSE)&lt;0.1,"Fraco retorno",IF(VLOOKUP(BM155,Fundamentus!A:U,17,FALSE)&gt;0.1,"Bom retorno","n/a"))</f>
        <v>Bom retorno</v>
      </c>
      <c r="ES155" s="17" t="str">
        <f>IF(VLOOKUP(BM155,Fundamentus!A:U,16,FALSE)&lt;0.1,"Ineficiente",IF(VLOOKUP(BM155,Fundamentus!A:U,16,FALSE)&gt;0.1,"Eficiente","n/a"))</f>
        <v>Eficiente</v>
      </c>
      <c r="ET155" s="33" t="str">
        <f>IF(VLOOKUP(BM155,Fundamentus!A:U,16,FALSE)&lt;0.1,"Oper. Ineficiente",IF(VLOOKUP(BM155,Fundamentus!A:U,16,FALSE)&gt;0.1,"Oper.Eficiente","n/a"))</f>
        <v>Oper.Eficiente</v>
      </c>
      <c r="EU155" s="34">
        <f>VLOOKUP(BM155,Fundamentus!A:U,14,FALSE)</f>
        <v>8.1100000000000005E-2</v>
      </c>
      <c r="EV155" s="17" t="str">
        <f>IF(VLOOKUP(BM155,Fundamentus!A:U,21,FALSE)&lt;0,"Negativo",IF(VLOOKUP(BM155,Fundamentus!A:U,21,FALSE)&lt;0.05,"Fraco",IF(VLOOKUP(BM155,Fundamentus!A:U,21,FALSE)&lt;0.1,"Bom",IF(VLOOKUP(BM155,Fundamentus!A:U,21,FALSE)&gt;0.1,"Muito bom","n/a"))))</f>
        <v>Muito bom</v>
      </c>
      <c r="EX155" s="29" t="str">
        <f>IF(VLOOKUP(BM155,Fundamentus!A:U,15,FALSE)&gt;1,"Bom",IF(VLOOKUP(BM155,Fundamentus!A:U,15,FALSE)&lt;1,"Ruim","n/a"))</f>
        <v>Bom</v>
      </c>
      <c r="EY155" s="17" t="str">
        <f>IF(VLOOKUP(BM155,Fundamentus!A:U,20,FALSE)&lt;0.5,"Baixa",IF(VLOOKUP(BM155,Fundamentus!A:U,20,FALSE)&lt;1,"Moderada",IF(VLOOKUP(BM155,Fundamentus!A:U,20,FALSE)&lt;2,"Alerta",IF(VLOOKUP(BM155,Fundamentus!A:U,20,FALSE)&gt;2,"Alta","n/a"))))</f>
        <v>Alerta</v>
      </c>
      <c r="EZ155" s="10">
        <v>1</v>
      </c>
    </row>
    <row r="156" spans="1:156" s="2" customFormat="1" ht="11.25" x14ac:dyDescent="0.2">
      <c r="A156" s="4">
        <v>50.35</v>
      </c>
      <c r="B156" s="4">
        <v>45.53</v>
      </c>
      <c r="C156" s="4">
        <v>46.45</v>
      </c>
      <c r="D156" s="4">
        <v>45.9</v>
      </c>
      <c r="E156" s="4">
        <v>43.3</v>
      </c>
      <c r="F156" s="4">
        <v>45</v>
      </c>
      <c r="G156" s="4">
        <v>44.9</v>
      </c>
      <c r="H156" s="4">
        <v>44.49</v>
      </c>
      <c r="I156" s="4">
        <v>45.25</v>
      </c>
      <c r="J156" s="4">
        <v>46.42</v>
      </c>
      <c r="K156" s="4">
        <v>49.47</v>
      </c>
      <c r="L156" s="4">
        <v>49.03</v>
      </c>
      <c r="M156" s="4">
        <v>48.7</v>
      </c>
      <c r="N156" s="4">
        <v>50.08</v>
      </c>
      <c r="O156" s="4">
        <v>50.76</v>
      </c>
      <c r="P156" s="4">
        <v>52</v>
      </c>
      <c r="Q156" s="4">
        <v>53.17</v>
      </c>
      <c r="R156" s="4">
        <v>51.83</v>
      </c>
      <c r="S156" s="4">
        <v>54.96</v>
      </c>
      <c r="T156" s="4">
        <v>54.85</v>
      </c>
      <c r="U156" s="4">
        <v>55.28</v>
      </c>
      <c r="V156" s="4">
        <v>55.6</v>
      </c>
      <c r="W156" s="4">
        <v>54.62</v>
      </c>
      <c r="X156" s="4">
        <v>52.67</v>
      </c>
      <c r="Y156" s="4">
        <v>53.48</v>
      </c>
      <c r="Z156" s="4">
        <v>53.43</v>
      </c>
      <c r="AA156" s="4">
        <v>52.39</v>
      </c>
      <c r="AB156" s="4">
        <v>52.07</v>
      </c>
      <c r="AC156" s="4">
        <v>51.6</v>
      </c>
      <c r="AD156" s="4">
        <v>51</v>
      </c>
      <c r="AE156" s="4">
        <v>49.52</v>
      </c>
      <c r="AF156" s="4">
        <v>51.66</v>
      </c>
      <c r="AG156" s="4">
        <v>49.42</v>
      </c>
      <c r="AH156" s="4">
        <v>48.04</v>
      </c>
      <c r="AI156" s="4">
        <v>47.16</v>
      </c>
      <c r="AJ156" s="4">
        <v>46.86</v>
      </c>
      <c r="AK156" s="4">
        <v>46.87</v>
      </c>
      <c r="AL156" s="4">
        <v>49.1</v>
      </c>
      <c r="AM156" s="4">
        <v>50.56</v>
      </c>
      <c r="AN156" s="4">
        <v>51.87</v>
      </c>
      <c r="AO156" s="4">
        <v>50.9</v>
      </c>
      <c r="AP156" s="4">
        <v>53.85</v>
      </c>
      <c r="AQ156" s="4">
        <v>52.74</v>
      </c>
      <c r="AR156" s="4">
        <v>48.34</v>
      </c>
      <c r="AS156" s="4">
        <v>49.47</v>
      </c>
      <c r="AT156" s="4">
        <v>51.16</v>
      </c>
      <c r="AU156" s="4">
        <v>49.73</v>
      </c>
      <c r="AV156" s="4">
        <v>50.15</v>
      </c>
      <c r="AW156" s="4">
        <v>51.05</v>
      </c>
      <c r="AX156" s="4">
        <v>50.45</v>
      </c>
      <c r="AY156" s="12">
        <v>26.41</v>
      </c>
      <c r="AZ156" s="12">
        <v>27.15</v>
      </c>
      <c r="BA156" s="12">
        <v>27.79</v>
      </c>
      <c r="BB156" s="15">
        <v>27.91</v>
      </c>
      <c r="BC156" s="52">
        <v>28.15</v>
      </c>
      <c r="BD156" s="52">
        <v>27.66</v>
      </c>
      <c r="BE156" s="52">
        <v>28.66</v>
      </c>
      <c r="BF156" s="52">
        <v>28.78</v>
      </c>
      <c r="BG156" s="67">
        <v>29.79</v>
      </c>
      <c r="BH156" s="52">
        <v>30.28</v>
      </c>
      <c r="BI156" s="52">
        <v>30.4</v>
      </c>
      <c r="BJ156" s="52">
        <v>32.4</v>
      </c>
      <c r="BK156" s="52">
        <v>32.1</v>
      </c>
      <c r="BL156" s="52" cm="1">
        <f t="array" aca="1" ref="BL156" ca="1">_FV(EC156,"Preço")</f>
        <v>32.1</v>
      </c>
      <c r="BM156" s="69" t="s">
        <v>152</v>
      </c>
      <c r="BN156" s="36" cm="1">
        <f t="array" aca="1" ref="BN156" ca="1">_FV(EC156,"Média de volume",TRUE)</f>
        <v>8175440</v>
      </c>
      <c r="BO156" s="36">
        <v>7253000</v>
      </c>
      <c r="BP156" s="36" cm="1">
        <f t="array" aca="1" ref="BP156" ca="1">_FV(EC156,"Volume")</f>
        <v>7253000</v>
      </c>
      <c r="BQ156" s="24" cm="1">
        <f t="array" aca="1" ref="BQ156" ca="1">_FV(EC156,"Beta")</f>
        <v>0.5635</v>
      </c>
      <c r="BR156" s="71" cm="1">
        <f t="array" aca="1" ref="BR156" ca="1">_FV(EC156,"Variação (%)",TRUE)</f>
        <v>3.1250000000000002E-3</v>
      </c>
      <c r="BT156" s="17" cm="1">
        <f t="array" aca="1" ref="BT156" ca="1">_FV(EC156,"Baixo")</f>
        <v>31.96</v>
      </c>
      <c r="BU156" s="17" cm="1">
        <f t="array" aca="1" ref="BU156" ca="1">_FV(EC156,"Alto")</f>
        <v>32.44</v>
      </c>
      <c r="BV156" s="24"/>
      <c r="BW156" s="63">
        <f ca="1">SQRT(22.5*(BL156/VLOOKUP(BM156,Fundamentus!A:U,3,FALSE))*(BL156/VLOOKUP(BM156,Fundamentus!A:U,4,FALSE)))</f>
        <v>30.872806855389797</v>
      </c>
      <c r="BY156" s="62">
        <f t="shared" ca="1" si="168"/>
        <v>0</v>
      </c>
      <c r="BZ156" s="8"/>
      <c r="CA156" s="61">
        <f t="shared" si="169"/>
        <v>26.41</v>
      </c>
      <c r="CB156" s="61">
        <f t="shared" si="170"/>
        <v>55.6</v>
      </c>
      <c r="CC156" s="61">
        <f t="shared" si="171"/>
        <v>45.729523809523805</v>
      </c>
      <c r="CD156" s="14"/>
      <c r="CE156" s="35">
        <f t="shared" si="154"/>
        <v>29.138553420211906</v>
      </c>
      <c r="CF156" s="15">
        <f t="shared" si="172"/>
        <v>31.667999999999665</v>
      </c>
      <c r="CG156" s="35">
        <f t="shared" si="155"/>
        <v>34.197446579787425</v>
      </c>
      <c r="CI156" s="14"/>
      <c r="CJ156" s="17">
        <f t="shared" si="156"/>
        <v>-8.5166666666666764</v>
      </c>
      <c r="CK156" s="17">
        <f t="shared" si="157"/>
        <v>8.9466666666666619</v>
      </c>
      <c r="CL156" s="17">
        <f t="shared" si="158"/>
        <v>20.673333333333325</v>
      </c>
      <c r="CM156" s="38">
        <f t="shared" si="173"/>
        <v>38.136666666666663</v>
      </c>
      <c r="CN156" s="17">
        <f t="shared" si="159"/>
        <v>49.86333333333333</v>
      </c>
      <c r="CO156" s="17">
        <f t="shared" si="160"/>
        <v>67.326666666666668</v>
      </c>
      <c r="CP156" s="17">
        <f t="shared" si="161"/>
        <v>79.053333333333327</v>
      </c>
      <c r="CQ156" s="2" cm="1">
        <f t="array" aca="1" ref="CQ156" ca="1">MAX(_xlfn._xlws.FILTER(CJ156:CP156,CJ156:CP156&lt;BL156))</f>
        <v>20.673333333333325</v>
      </c>
      <c r="CR156" s="2" cm="1">
        <f t="array" aca="1" ref="CR156" ca="1">MIN(_xlfn._xlws.FILTER($CJ156:$CP156,$CJ156:$CP156&gt;BL156))</f>
        <v>38.136666666666663</v>
      </c>
      <c r="CS156" s="16">
        <f t="shared" ca="1" si="175"/>
        <v>0.84472750725572454</v>
      </c>
      <c r="CT156" s="20">
        <f t="shared" ca="1" si="176"/>
        <v>-0.42236375362786227</v>
      </c>
      <c r="CU156" s="20">
        <f t="shared" ca="1" si="177"/>
        <v>-0.2815758357519082</v>
      </c>
      <c r="CV156" s="20">
        <f t="shared" ca="1" si="178"/>
        <v>-0.1689455014511449</v>
      </c>
      <c r="CW156" s="20">
        <f t="shared" ca="1" si="179"/>
        <v>-9.3858611917302728E-2</v>
      </c>
      <c r="CX156" s="20">
        <f t="shared" ca="1" si="180"/>
        <v>-4.9689853367983795E-2</v>
      </c>
      <c r="CY156" s="20">
        <f t="shared" ca="1" si="181"/>
        <v>-2.5597803250173471E-2</v>
      </c>
      <c r="CZ156" s="20">
        <f t="shared" ca="1" si="182"/>
        <v>-1.2995807803934223E-2</v>
      </c>
      <c r="DA156" s="21">
        <f t="shared" ca="1" si="183"/>
        <v>1.2995807803934223E-2</v>
      </c>
      <c r="DB156" s="21">
        <f t="shared" ca="1" si="184"/>
        <v>2.5597803250173471E-2</v>
      </c>
      <c r="DC156" s="21">
        <f t="shared" ca="1" si="185"/>
        <v>4.9689853367983795E-2</v>
      </c>
      <c r="DD156" s="21">
        <f t="shared" ca="1" si="186"/>
        <v>9.3858611917302728E-2</v>
      </c>
      <c r="DE156" s="21">
        <f t="shared" ca="1" si="187"/>
        <v>0.1689455014511449</v>
      </c>
      <c r="DF156" s="21">
        <f t="shared" ca="1" si="188"/>
        <v>0.2815758357519082</v>
      </c>
      <c r="DG156" s="21">
        <f t="shared" ca="1" si="189"/>
        <v>0.42236375362786227</v>
      </c>
      <c r="DI156" s="16" cm="1">
        <f t="array" aca="1" ref="DI156" ca="1">MAX(_xlfn._xlws.FILTER(CT156:DG156,CT156:DG156&lt;BR156))</f>
        <v>-1.2995807803934223E-2</v>
      </c>
      <c r="DJ156" s="16" cm="1">
        <f t="array" aca="1" ref="DJ156" ca="1">MIN(_xlfn._xlws.FILTER(CT156:DG156,CT156:DG156&gt;BR156))</f>
        <v>1.2995807803934223E-2</v>
      </c>
      <c r="DK156" s="2" cm="1">
        <f t="array" aca="1" ref="DK156" ca="1">_FV(EC156,"Fechamento anterior",TRUE)</f>
        <v>32</v>
      </c>
      <c r="DL156" s="28">
        <f t="shared" ca="1" si="162"/>
        <v>0.62023107940446764</v>
      </c>
      <c r="DM156" s="15">
        <f t="shared" ca="1" si="190"/>
        <v>31.584134150274103</v>
      </c>
      <c r="DN156" s="15">
        <f t="shared" ca="1" si="191"/>
        <v>32.415865849725897</v>
      </c>
      <c r="DO156" s="9"/>
      <c r="DP156" s="9"/>
      <c r="DQ156" s="9"/>
      <c r="DR156" s="89">
        <v>3.6498531609047355E-2</v>
      </c>
      <c r="DS156" s="89">
        <v>2.9794149512459348E-2</v>
      </c>
      <c r="DT156" s="89">
        <v>2.5991615607868446E-2</v>
      </c>
      <c r="DU156" s="89">
        <v>2.5991615607868446E-2</v>
      </c>
      <c r="DV156" s="89">
        <f t="shared" ca="1" si="163"/>
        <v>2.5991615607868446E-2</v>
      </c>
      <c r="DW156" s="72">
        <f t="shared" ca="1" si="164"/>
        <v>0.17078834692630052</v>
      </c>
      <c r="DX156" s="37"/>
      <c r="DY156" s="35">
        <f t="shared" si="174"/>
        <v>1.2647232898938801</v>
      </c>
      <c r="DZ156" s="56"/>
      <c r="EA156" s="56"/>
      <c r="EC156" s="2" t="e" vm="158">
        <v>#VALUE!</v>
      </c>
      <c r="EE156" s="10" cm="1">
        <f t="array" aca="1" ref="EE156" ca="1">_FV(EC156,"Ações em circulação",TRUE)</f>
        <v>3261287000</v>
      </c>
      <c r="EF156" s="18">
        <f>VLOOKUP(BM156,Fundamentus!A:U,5,FALSE)</f>
        <v>1.714</v>
      </c>
      <c r="EG156" s="2">
        <f t="shared" ca="1" si="165"/>
        <v>61077778704.784134</v>
      </c>
      <c r="EH156" s="17">
        <v>6162747871.3127193</v>
      </c>
      <c r="EI156" s="17">
        <f t="shared" ca="1" si="166"/>
        <v>6162747871.3127193</v>
      </c>
      <c r="EK156" s="16">
        <f t="shared" ca="1" si="153"/>
        <v>0</v>
      </c>
      <c r="EL156" s="32" t="str">
        <f>IF(VLOOKUP(BM156,Fundamentus!A:U,3,FALSE)&lt;15,"Bom",IF(VLOOKUP(BM156,Fundamentus!A:U,3,FALSE)&gt;15,"Ruim","n/a"))</f>
        <v>Ruim</v>
      </c>
      <c r="EM156" s="28" t="str">
        <f>IF(VLOOKUP(BM156,Fundamentus!A:U,4,FALSE)&lt;1,"Baixo",IF(VLOOKUP(BM156,Fundamentus!A:U,4,FALSE)&lt;1.5,"Moderado",IF(VLOOKUP(BM156,Fundamentus!A:U,4,FALSE)&gt;1.5,"Alto","n/a")))</f>
        <v>Moderado</v>
      </c>
      <c r="EN156" s="17" t="str">
        <f>IF(VLOOKUP(BM156,Fundamentus!A:U,8,FALSE)&lt;0,"Risco elevado",IF(VLOOKUP(BM156,Fundamentus!A:U,8,FALSE)&lt;1,"Saudável",IF(VLOOKUP(BM156,Fundamentus!A:U,8,FALSE)&lt;3,"Estável",IF(VLOOKUP(BM156,Fundamentus!A:U,8,FALSE)&gt;3,"Alerta","n/a"))))</f>
        <v>Risco elevado</v>
      </c>
      <c r="EO156" s="28" t="str">
        <f t="shared" si="167"/>
        <v>Bom</v>
      </c>
      <c r="EP156" s="17" t="str">
        <f>IF(VLOOKUP(BM156,Fundamentus!A:U,12,FALSE)&lt;2,"Subvalorizada",IF(VLOOKUP(BM156,Fundamentus!A:U,12,FALSE)&lt;6,"Muita barata",IF(VLOOKUP(BM156,Fundamentus!A:U,12,FALSE)&lt;6,"Barata",IF(VLOOKUP(BM156,Fundamentus!A:U,12,FALSE)&lt;8,"Atrativa",IF(VLOOKUP(BM156,Fundamentus!A:U,12,FALSE)&gt;8,"Supervalorizada","n/a")))))</f>
        <v>Muita barata</v>
      </c>
      <c r="ER156" s="17" t="str">
        <f>IF(VLOOKUP(BM156,Fundamentus!A:U,17,FALSE)&lt;0.1,"Fraco retorno",IF(VLOOKUP(BM156,Fundamentus!A:U,17,FALSE)&gt;0.1,"Bom retorno","n/a"))</f>
        <v>Fraco retorno</v>
      </c>
      <c r="ES156" s="17" t="str">
        <f>IF(VLOOKUP(BM156,Fundamentus!A:U,16,FALSE)&lt;0.1,"Ineficiente",IF(VLOOKUP(BM156,Fundamentus!A:U,16,FALSE)&gt;0.1,"Eficiente","n/a"))</f>
        <v>Ineficiente</v>
      </c>
      <c r="ET156" s="33" t="str">
        <f>IF(VLOOKUP(BM156,Fundamentus!A:U,16,FALSE)&lt;0.1,"Oper. Ineficiente",IF(VLOOKUP(BM156,Fundamentus!A:U,16,FALSE)&gt;0.1,"Oper.Eficiente","n/a"))</f>
        <v>Oper. Ineficiente</v>
      </c>
      <c r="EU156" s="34">
        <f>VLOOKUP(BM156,Fundamentus!A:U,14,FALSE)</f>
        <v>0.1009</v>
      </c>
      <c r="EV156" s="17" t="str">
        <f>IF(VLOOKUP(BM156,Fundamentus!A:U,21,FALSE)&lt;0,"Negativo",IF(VLOOKUP(BM156,Fundamentus!A:U,21,FALSE)&lt;0.05,"Fraco",IF(VLOOKUP(BM156,Fundamentus!A:U,21,FALSE)&lt;0.1,"Bom",IF(VLOOKUP(BM156,Fundamentus!A:U,21,FALSE)&gt;0.1,"Muito bom","n/a"))))</f>
        <v>Bom</v>
      </c>
      <c r="EX156" s="29" t="str">
        <f>IF(VLOOKUP(BM156,Fundamentus!A:U,15,FALSE)&gt;1,"Bom",IF(VLOOKUP(BM156,Fundamentus!A:U,15,FALSE)&lt;1,"Ruim","n/a"))</f>
        <v>Ruim</v>
      </c>
      <c r="EY156" s="17" t="str">
        <f>IF(VLOOKUP(BM156,Fundamentus!A:U,20,FALSE)&lt;0.5,"Baixa",IF(VLOOKUP(BM156,Fundamentus!A:U,20,FALSE)&lt;1,"Moderada",IF(VLOOKUP(BM156,Fundamentus!A:U,20,FALSE)&lt;2,"Alerta",IF(VLOOKUP(BM156,Fundamentus!A:U,20,FALSE)&gt;2,"Alta","n/a"))))</f>
        <v>Baixa</v>
      </c>
      <c r="EZ156" s="10"/>
    </row>
    <row r="157" spans="1:156" s="2" customFormat="1" ht="11.25" x14ac:dyDescent="0.2">
      <c r="A157" s="4">
        <v>2.62</v>
      </c>
      <c r="B157" s="4">
        <v>2.5299999999999998</v>
      </c>
      <c r="C157" s="4">
        <v>2.54</v>
      </c>
      <c r="D157" s="4">
        <v>2.46</v>
      </c>
      <c r="E157" s="4">
        <v>2.2999999999999998</v>
      </c>
      <c r="F157" s="4">
        <v>2.36</v>
      </c>
      <c r="G157" s="4">
        <v>2.2400000000000002</v>
      </c>
      <c r="H157" s="4">
        <v>2.2999999999999998</v>
      </c>
      <c r="I157" s="4">
        <v>2.5499999999999998</v>
      </c>
      <c r="J157" s="4">
        <v>2.73</v>
      </c>
      <c r="K157" s="4">
        <v>2.78</v>
      </c>
      <c r="L157" s="4">
        <v>2.78</v>
      </c>
      <c r="M157" s="4">
        <v>2.59</v>
      </c>
      <c r="N157" s="4">
        <v>2.59</v>
      </c>
      <c r="O157" s="4">
        <v>3.02</v>
      </c>
      <c r="P157" s="4">
        <v>3.01</v>
      </c>
      <c r="Q157" s="4">
        <v>3.39</v>
      </c>
      <c r="R157" s="4">
        <v>3.08</v>
      </c>
      <c r="S157" s="4">
        <v>3.1</v>
      </c>
      <c r="T157" s="4">
        <v>2.98</v>
      </c>
      <c r="U157" s="4">
        <v>2.67</v>
      </c>
      <c r="V157" s="4">
        <v>2.65</v>
      </c>
      <c r="W157" s="4">
        <v>2.74</v>
      </c>
      <c r="X157" s="4">
        <v>2.7</v>
      </c>
      <c r="Y157" s="4">
        <v>2.79</v>
      </c>
      <c r="Z157" s="4">
        <v>2.82</v>
      </c>
      <c r="AA157" s="4">
        <v>2.83</v>
      </c>
      <c r="AB157" s="4">
        <v>3.14</v>
      </c>
      <c r="AC157" s="4">
        <v>3.13</v>
      </c>
      <c r="AD157" s="4">
        <v>3.3</v>
      </c>
      <c r="AE157" s="4">
        <v>3.41</v>
      </c>
      <c r="AF157" s="4">
        <v>3.1</v>
      </c>
      <c r="AG157" s="4">
        <v>3.09</v>
      </c>
      <c r="AH157" s="4">
        <v>3.18</v>
      </c>
      <c r="AI157" s="4">
        <v>3.11</v>
      </c>
      <c r="AJ157" s="4">
        <v>3.03</v>
      </c>
      <c r="AK157" s="4">
        <v>3.26</v>
      </c>
      <c r="AL157" s="4">
        <v>3.37</v>
      </c>
      <c r="AM157" s="4">
        <v>3.06</v>
      </c>
      <c r="AN157" s="4">
        <v>3.15</v>
      </c>
      <c r="AO157" s="4">
        <v>3.09</v>
      </c>
      <c r="AP157" s="4">
        <v>3.33</v>
      </c>
      <c r="AQ157" s="4">
        <v>3.07</v>
      </c>
      <c r="AR157" s="4">
        <v>2.82</v>
      </c>
      <c r="AS157" s="4">
        <v>3.03</v>
      </c>
      <c r="AT157" s="4">
        <v>3.06</v>
      </c>
      <c r="AU157" s="4">
        <v>3.18</v>
      </c>
      <c r="AV157" s="4">
        <v>3.19</v>
      </c>
      <c r="AW157" s="4">
        <v>3.19</v>
      </c>
      <c r="AX157" s="4">
        <v>3.43</v>
      </c>
      <c r="AY157" s="12">
        <v>3.28</v>
      </c>
      <c r="AZ157" s="12">
        <v>3.38</v>
      </c>
      <c r="BA157" s="12">
        <v>3.3</v>
      </c>
      <c r="BB157" s="15">
        <v>3.47</v>
      </c>
      <c r="BC157" s="52">
        <v>3.33</v>
      </c>
      <c r="BD157" s="52">
        <v>3.32</v>
      </c>
      <c r="BE157" s="52">
        <v>3.48</v>
      </c>
      <c r="BF157" s="52">
        <v>3.43</v>
      </c>
      <c r="BG157" s="67">
        <v>3.34</v>
      </c>
      <c r="BH157" s="52">
        <v>3.43</v>
      </c>
      <c r="BI157" s="52">
        <v>3.43</v>
      </c>
      <c r="BJ157" s="52">
        <v>3.39</v>
      </c>
      <c r="BK157" s="52">
        <v>3.34</v>
      </c>
      <c r="BL157" s="52" cm="1">
        <f t="array" aca="1" ref="BL157" ca="1">_FV(EC157,"Preço")</f>
        <v>3.34</v>
      </c>
      <c r="BM157" s="69" t="s">
        <v>153</v>
      </c>
      <c r="BN157" s="36" cm="1">
        <f t="array" aca="1" ref="BN157" ca="1">_FV(EC157,"Média de volume",TRUE)</f>
        <v>985600</v>
      </c>
      <c r="BO157" s="36">
        <v>676500</v>
      </c>
      <c r="BP157" s="36" cm="1">
        <f t="array" aca="1" ref="BP157" ca="1">_FV(EC157,"Volume")</f>
        <v>676500</v>
      </c>
      <c r="BQ157" s="24" cm="1">
        <f t="array" aca="1" ref="BQ157" ca="1">_FV(EC157,"Beta")</f>
        <v>1.3244</v>
      </c>
      <c r="BR157" s="71" cm="1">
        <f t="array" aca="1" ref="BR157" ca="1">_FV(EC157,"Variação (%)",TRUE)</f>
        <v>-1.1834000000000001E-2</v>
      </c>
      <c r="BT157" s="17" cm="1">
        <f t="array" aca="1" ref="BT157" ca="1">_FV(EC157,"Baixo")</f>
        <v>3.3</v>
      </c>
      <c r="BU157" s="17" cm="1">
        <f t="array" aca="1" ref="BU157" ca="1">_FV(EC157,"Alto")</f>
        <v>3.37</v>
      </c>
      <c r="BV157" s="24"/>
      <c r="BW157" s="63">
        <f ca="1">SQRT(22.5*(BL157/VLOOKUP(BM157,Fundamentus!A:U,3,FALSE))*(BL157/VLOOKUP(BM157,Fundamentus!A:U,4,FALSE)))</f>
        <v>4.797389488184038</v>
      </c>
      <c r="BY157" s="62">
        <f t="shared" ca="1" si="168"/>
        <v>0</v>
      </c>
      <c r="BZ157" s="8"/>
      <c r="CA157" s="61">
        <f t="shared" si="169"/>
        <v>2.2400000000000002</v>
      </c>
      <c r="CB157" s="61">
        <f t="shared" si="170"/>
        <v>3.48</v>
      </c>
      <c r="CC157" s="61">
        <f t="shared" si="171"/>
        <v>3.0125396825396829</v>
      </c>
      <c r="CD157" s="14"/>
      <c r="CE157" s="35">
        <f t="shared" si="154"/>
        <v>3.3014463601760409</v>
      </c>
      <c r="CF157" s="15">
        <f t="shared" si="172"/>
        <v>3.382000000000005</v>
      </c>
      <c r="CG157" s="35">
        <f t="shared" si="155"/>
        <v>3.4625536398239691</v>
      </c>
      <c r="CI157" s="14"/>
      <c r="CJ157" s="17">
        <f t="shared" si="156"/>
        <v>1.3533333333333344</v>
      </c>
      <c r="CK157" s="17">
        <f t="shared" si="157"/>
        <v>1.7966666666666673</v>
      </c>
      <c r="CL157" s="17">
        <f t="shared" si="158"/>
        <v>2.5933333333333342</v>
      </c>
      <c r="CM157" s="38">
        <f t="shared" si="173"/>
        <v>3.0366666666666671</v>
      </c>
      <c r="CN157" s="17">
        <f t="shared" si="159"/>
        <v>3.8333333333333339</v>
      </c>
      <c r="CO157" s="17">
        <f t="shared" si="160"/>
        <v>4.2766666666666673</v>
      </c>
      <c r="CP157" s="17">
        <f t="shared" si="161"/>
        <v>5.0733333333333341</v>
      </c>
      <c r="CQ157" s="2" cm="1">
        <f t="array" aca="1" ref="CQ157" ca="1">MAX(_xlfn._xlws.FILTER(CJ157:CP157,CJ157:CP157&lt;BL157))</f>
        <v>3.0366666666666671</v>
      </c>
      <c r="CR157" s="2" cm="1">
        <f t="array" aca="1" ref="CR157" ca="1">MIN(_xlfn._xlws.FILTER($CJ157:$CP157,$CJ157:$CP157&gt;BL157))</f>
        <v>3.8333333333333339</v>
      </c>
      <c r="CS157" s="16">
        <f t="shared" ca="1" si="175"/>
        <v>0.26234906695938531</v>
      </c>
      <c r="CT157" s="20">
        <f t="shared" ca="1" si="176"/>
        <v>-0.13117453347969266</v>
      </c>
      <c r="CU157" s="20">
        <f t="shared" ca="1" si="177"/>
        <v>-8.7449688986461771E-2</v>
      </c>
      <c r="CV157" s="20">
        <f t="shared" ca="1" si="178"/>
        <v>-5.2469813391877063E-2</v>
      </c>
      <c r="CW157" s="20">
        <f t="shared" ca="1" si="179"/>
        <v>-2.914989632882059E-2</v>
      </c>
      <c r="CX157" s="20">
        <f t="shared" ca="1" si="180"/>
        <v>-1.5432298056434431E-2</v>
      </c>
      <c r="CY157" s="20">
        <f t="shared" ca="1" si="181"/>
        <v>-7.9499717260419784E-3</v>
      </c>
      <c r="CZ157" s="20">
        <f t="shared" ca="1" si="182"/>
        <v>-4.0361394916828509E-3</v>
      </c>
      <c r="DA157" s="21">
        <f t="shared" ca="1" si="183"/>
        <v>4.0361394916828509E-3</v>
      </c>
      <c r="DB157" s="21">
        <f t="shared" ca="1" si="184"/>
        <v>7.9499717260419784E-3</v>
      </c>
      <c r="DC157" s="21">
        <f t="shared" ca="1" si="185"/>
        <v>1.5432298056434431E-2</v>
      </c>
      <c r="DD157" s="21">
        <f t="shared" ca="1" si="186"/>
        <v>2.914989632882059E-2</v>
      </c>
      <c r="DE157" s="21">
        <f t="shared" ca="1" si="187"/>
        <v>5.2469813391877063E-2</v>
      </c>
      <c r="DF157" s="21">
        <f t="shared" ca="1" si="188"/>
        <v>8.7449688986461771E-2</v>
      </c>
      <c r="DG157" s="21">
        <f t="shared" ca="1" si="189"/>
        <v>0.13117453347969266</v>
      </c>
      <c r="DI157" s="16" cm="1">
        <f t="array" aca="1" ref="DI157" ca="1">MAX(_xlfn._xlws.FILTER(CT157:DG157,CT157:DG157&lt;BR157))</f>
        <v>-1.5432298056434431E-2</v>
      </c>
      <c r="DJ157" s="16" cm="1">
        <f t="array" aca="1" ref="DJ157" ca="1">MIN(_xlfn._xlws.FILTER(CT157:DG157,CT157:DG157&gt;BR157))</f>
        <v>-7.9499717260419784E-3</v>
      </c>
      <c r="DK157" s="2" cm="1">
        <f t="array" aca="1" ref="DK157" ca="1">_FV(EC157,"Fechamento anterior",TRUE)</f>
        <v>3.38</v>
      </c>
      <c r="DL157" s="28">
        <f t="shared" ca="1" si="162"/>
        <v>0.48086362060855159</v>
      </c>
      <c r="DM157" s="15">
        <f t="shared" ca="1" si="190"/>
        <v>3.3278388325692516</v>
      </c>
      <c r="DN157" s="15">
        <f t="shared" ca="1" si="191"/>
        <v>3.3531290955659778</v>
      </c>
      <c r="DO157" s="9"/>
      <c r="DP157" s="9"/>
      <c r="DQ157" s="9"/>
      <c r="DR157" s="89">
        <v>3.1454489285814616E-3</v>
      </c>
      <c r="DS157" s="89">
        <v>7.3662216241102106E-3</v>
      </c>
      <c r="DT157" s="89">
        <v>8.0722789833657018E-3</v>
      </c>
      <c r="DU157" s="89">
        <v>7.4823263303924522E-3</v>
      </c>
      <c r="DV157" s="89">
        <f t="shared" ca="1" si="163"/>
        <v>7.4823263303924522E-3</v>
      </c>
      <c r="DW157" s="72">
        <f t="shared" ca="1" si="164"/>
        <v>-0.52139170981955363</v>
      </c>
      <c r="DX157" s="37"/>
      <c r="DY157" s="35">
        <f t="shared" si="174"/>
        <v>4.0276819911982044E-2</v>
      </c>
      <c r="DZ157" s="56"/>
      <c r="EA157" s="56"/>
      <c r="EC157" s="2" t="e" vm="159">
        <v>#VALUE!</v>
      </c>
      <c r="EE157" s="10" cm="1">
        <f t="array" aca="1" ref="EE157" ca="1">_FV(EC157,"Ações em circulação",TRUE)</f>
        <v>622672700</v>
      </c>
      <c r="EF157" s="18">
        <f>VLOOKUP(BM157,Fundamentus!A:U,5,FALSE)</f>
        <v>0.158</v>
      </c>
      <c r="EG157" s="2">
        <f t="shared" ca="1" si="165"/>
        <v>13162827962.025316</v>
      </c>
      <c r="EH157" s="17">
        <v>146107390.37848103</v>
      </c>
      <c r="EI157" s="17">
        <f t="shared" ca="1" si="166"/>
        <v>146107390.37848103</v>
      </c>
      <c r="EK157" s="16">
        <f t="shared" ca="1" si="153"/>
        <v>0</v>
      </c>
      <c r="EL157" s="32" t="str">
        <f>IF(VLOOKUP(BM157,Fundamentus!A:U,3,FALSE)&lt;15,"Bom",IF(VLOOKUP(BM157,Fundamentus!A:U,3,FALSE)&gt;15,"Ruim","n/a"))</f>
        <v>Bom</v>
      </c>
      <c r="EM157" s="28" t="str">
        <f>IF(VLOOKUP(BM157,Fundamentus!A:U,4,FALSE)&lt;1,"Baixo",IF(VLOOKUP(BM157,Fundamentus!A:U,4,FALSE)&lt;1.5,"Moderado",IF(VLOOKUP(BM157,Fundamentus!A:U,4,FALSE)&gt;1.5,"Alto","n/a")))</f>
        <v>Baixo</v>
      </c>
      <c r="EN157" s="17" t="str">
        <f>IF(VLOOKUP(BM157,Fundamentus!A:U,8,FALSE)&lt;0,"Risco elevado",IF(VLOOKUP(BM157,Fundamentus!A:U,8,FALSE)&lt;1,"Saudável",IF(VLOOKUP(BM157,Fundamentus!A:U,8,FALSE)&lt;3,"Estável",IF(VLOOKUP(BM157,Fundamentus!A:U,8,FALSE)&gt;3,"Alerta","n/a"))))</f>
        <v>Estável</v>
      </c>
      <c r="EO157" s="28" t="str">
        <f t="shared" si="167"/>
        <v>Ruim</v>
      </c>
      <c r="EP157" s="17" t="str">
        <f>IF(VLOOKUP(BM157,Fundamentus!A:U,12,FALSE)&lt;2,"Subvalorizada",IF(VLOOKUP(BM157,Fundamentus!A:U,12,FALSE)&lt;6,"Muita barata",IF(VLOOKUP(BM157,Fundamentus!A:U,12,FALSE)&lt;6,"Barata",IF(VLOOKUP(BM157,Fundamentus!A:U,12,FALSE)&lt;8,"Atrativa",IF(VLOOKUP(BM157,Fundamentus!A:U,12,FALSE)&gt;8,"Supervalorizada","n/a")))))</f>
        <v>Muita barata</v>
      </c>
      <c r="ER157" s="17" t="str">
        <f>IF(VLOOKUP(BM157,Fundamentus!A:U,17,FALSE)&lt;0.1,"Fraco retorno",IF(VLOOKUP(BM157,Fundamentus!A:U,17,FALSE)&gt;0.1,"Bom retorno","n/a"))</f>
        <v>Fraco retorno</v>
      </c>
      <c r="ES157" s="17" t="str">
        <f>IF(VLOOKUP(BM157,Fundamentus!A:U,16,FALSE)&lt;0.1,"Ineficiente",IF(VLOOKUP(BM157,Fundamentus!A:U,16,FALSE)&gt;0.1,"Eficiente","n/a"))</f>
        <v>Ineficiente</v>
      </c>
      <c r="ET157" s="33" t="str">
        <f>IF(VLOOKUP(BM157,Fundamentus!A:U,16,FALSE)&lt;0.1,"Oper. Ineficiente",IF(VLOOKUP(BM157,Fundamentus!A:U,16,FALSE)&gt;0.1,"Oper.Eficiente","n/a"))</f>
        <v>Oper. Ineficiente</v>
      </c>
      <c r="EU157" s="34">
        <f>VLOOKUP(BM157,Fundamentus!A:U,14,FALSE)</f>
        <v>1.11E-2</v>
      </c>
      <c r="EV157" s="17" t="str">
        <f>IF(VLOOKUP(BM157,Fundamentus!A:U,21,FALSE)&lt;0,"Negativo",IF(VLOOKUP(BM157,Fundamentus!A:U,21,FALSE)&lt;0.05,"Fraco",IF(VLOOKUP(BM157,Fundamentus!A:U,21,FALSE)&lt;0.1,"Bom",IF(VLOOKUP(BM157,Fundamentus!A:U,21,FALSE)&gt;0.1,"Muito bom","n/a"))))</f>
        <v>Muito bom</v>
      </c>
      <c r="EX157" s="29" t="str">
        <f>IF(VLOOKUP(BM157,Fundamentus!A:U,15,FALSE)&gt;1,"Bom",IF(VLOOKUP(BM157,Fundamentus!A:U,15,FALSE)&lt;1,"Ruim","n/a"))</f>
        <v>Bom</v>
      </c>
      <c r="EY157" s="17" t="str">
        <f>IF(VLOOKUP(BM157,Fundamentus!A:U,20,FALSE)&lt;0.5,"Baixa",IF(VLOOKUP(BM157,Fundamentus!A:U,20,FALSE)&lt;1,"Moderada",IF(VLOOKUP(BM157,Fundamentus!A:U,20,FALSE)&lt;2,"Alerta",IF(VLOOKUP(BM157,Fundamentus!A:U,20,FALSE)&gt;2,"Alta","n/a"))))</f>
        <v>Moderada</v>
      </c>
      <c r="EZ157" s="10"/>
    </row>
    <row r="158" spans="1:156" s="2" customFormat="1" ht="11.25" x14ac:dyDescent="0.2">
      <c r="A158" s="4">
        <v>11.7</v>
      </c>
      <c r="B158" s="4">
        <v>11.61</v>
      </c>
      <c r="C158" s="4">
        <v>12.1</v>
      </c>
      <c r="D158" s="4">
        <v>11.75</v>
      </c>
      <c r="E158" s="4">
        <v>11.1</v>
      </c>
      <c r="F158" s="4">
        <v>11.63</v>
      </c>
      <c r="G158" s="4">
        <v>11.65</v>
      </c>
      <c r="H158" s="4">
        <v>10.3</v>
      </c>
      <c r="I158" s="4">
        <v>10.71</v>
      </c>
      <c r="J158" s="4">
        <v>11.4</v>
      </c>
      <c r="K158" s="4">
        <v>11.25</v>
      </c>
      <c r="L158" s="4">
        <v>11.22</v>
      </c>
      <c r="M158" s="4">
        <v>11.38</v>
      </c>
      <c r="N158" s="4">
        <v>11.45</v>
      </c>
      <c r="O158" s="4">
        <v>12.04</v>
      </c>
      <c r="P158" s="4">
        <v>12.39</v>
      </c>
      <c r="Q158" s="4">
        <v>12.3</v>
      </c>
      <c r="R158" s="4">
        <v>11.93</v>
      </c>
      <c r="S158" s="4">
        <v>11.5</v>
      </c>
      <c r="T158" s="4">
        <v>11.6</v>
      </c>
      <c r="U158" s="4">
        <v>11.4</v>
      </c>
      <c r="V158" s="4">
        <v>10.65</v>
      </c>
      <c r="W158" s="4">
        <v>10.56</v>
      </c>
      <c r="X158" s="4">
        <v>10.39</v>
      </c>
      <c r="Y158" s="4">
        <v>10.36</v>
      </c>
      <c r="Z158" s="4">
        <v>10.54</v>
      </c>
      <c r="AA158" s="4">
        <v>9.8000000000000007</v>
      </c>
      <c r="AB158" s="4">
        <v>9.94</v>
      </c>
      <c r="AC158" s="4">
        <v>9.3000000000000007</v>
      </c>
      <c r="AD158" s="4">
        <v>9.4499999999999993</v>
      </c>
      <c r="AE158" s="4">
        <v>9.06</v>
      </c>
      <c r="AF158" s="4">
        <v>9.1</v>
      </c>
      <c r="AG158" s="4">
        <v>9.16</v>
      </c>
      <c r="AH158" s="4">
        <v>8.98</v>
      </c>
      <c r="AI158" s="4">
        <v>8.83</v>
      </c>
      <c r="AJ158" s="4">
        <v>8.6999999999999993</v>
      </c>
      <c r="AK158" s="4">
        <v>8.59</v>
      </c>
      <c r="AL158" s="4">
        <v>8.8800000000000008</v>
      </c>
      <c r="AM158" s="4">
        <v>9</v>
      </c>
      <c r="AN158" s="4">
        <v>9.5</v>
      </c>
      <c r="AO158" s="4">
        <v>9.1999999999999993</v>
      </c>
      <c r="AP158" s="4">
        <v>9.9600000000000009</v>
      </c>
      <c r="AQ158" s="4">
        <v>9.9</v>
      </c>
      <c r="AR158" s="4">
        <v>9.82</v>
      </c>
      <c r="AS158" s="4">
        <v>9.9600000000000009</v>
      </c>
      <c r="AT158" s="4">
        <v>9.92</v>
      </c>
      <c r="AU158" s="4">
        <v>10.54</v>
      </c>
      <c r="AV158" s="4">
        <v>10.89</v>
      </c>
      <c r="AW158" s="4">
        <v>10.85</v>
      </c>
      <c r="AX158" s="4">
        <v>10.87</v>
      </c>
      <c r="AY158" s="12">
        <v>10.53</v>
      </c>
      <c r="AZ158" s="12">
        <v>11.25</v>
      </c>
      <c r="BA158" s="12">
        <v>11.55</v>
      </c>
      <c r="BB158" s="15">
        <v>11.55</v>
      </c>
      <c r="BC158" s="52">
        <v>13.15</v>
      </c>
      <c r="BD158" s="52">
        <v>13.92</v>
      </c>
      <c r="BE158" s="52">
        <v>14.49</v>
      </c>
      <c r="BF158" s="52">
        <v>14.64</v>
      </c>
      <c r="BG158" s="67">
        <v>14.98</v>
      </c>
      <c r="BH158" s="52">
        <v>14.36</v>
      </c>
      <c r="BI158" s="52">
        <v>14.55</v>
      </c>
      <c r="BJ158" s="52">
        <v>15.08</v>
      </c>
      <c r="BK158" s="52">
        <v>14.42</v>
      </c>
      <c r="BL158" s="52" cm="1">
        <f t="array" aca="1" ref="BL158" ca="1">_FV(EC158,"Preço")</f>
        <v>14.42</v>
      </c>
      <c r="BM158" s="70" t="s">
        <v>154</v>
      </c>
      <c r="BN158" s="36" cm="1">
        <f t="array" aca="1" ref="BN158" ca="1">_FV(EC158,"Média de volume",TRUE)</f>
        <v>367640</v>
      </c>
      <c r="BO158" s="36">
        <v>230700</v>
      </c>
      <c r="BP158" s="36" cm="1">
        <f t="array" aca="1" ref="BP158" ca="1">_FV(EC158,"Volume")</f>
        <v>230700</v>
      </c>
      <c r="BQ158" s="24" cm="1">
        <f t="array" aca="1" ref="BQ158" ca="1">_FV(EC158,"Beta")</f>
        <v>1.0923</v>
      </c>
      <c r="BR158" s="71" cm="1">
        <f t="array" aca="1" ref="BR158" ca="1">_FV(EC158,"Variação (%)",TRUE)</f>
        <v>-1.5026999999999999E-2</v>
      </c>
      <c r="BT158" s="17" cm="1">
        <f t="array" aca="1" ref="BT158" ca="1">_FV(EC158,"Baixo")</f>
        <v>14.36</v>
      </c>
      <c r="BU158" s="17" cm="1">
        <f t="array" aca="1" ref="BU158" ca="1">_FV(EC158,"Alto")</f>
        <v>14.72</v>
      </c>
      <c r="BV158" s="24"/>
      <c r="BW158" s="63">
        <f ca="1">SQRT(22.5*(BL158/VLOOKUP(BM158,Fundamentus!A:U,3,FALSE))*(BL158/VLOOKUP(BM158,Fundamentus!A:U,4,FALSE)))</f>
        <v>7.3663270894876431</v>
      </c>
      <c r="BY158" s="62">
        <f t="shared" ca="1" si="168"/>
        <v>0</v>
      </c>
      <c r="BZ158" s="8"/>
      <c r="CA158" s="61">
        <f t="shared" si="169"/>
        <v>8.59</v>
      </c>
      <c r="CB158" s="61">
        <f t="shared" si="170"/>
        <v>15.08</v>
      </c>
      <c r="CC158" s="61">
        <f t="shared" si="171"/>
        <v>11.104444444444441</v>
      </c>
      <c r="CD158" s="14"/>
      <c r="CE158" s="35">
        <f t="shared" si="154"/>
        <v>14.097578353916575</v>
      </c>
      <c r="CF158" s="15">
        <f t="shared" si="172"/>
        <v>14.638000000000034</v>
      </c>
      <c r="CG158" s="35">
        <f t="shared" si="155"/>
        <v>15.178421646083493</v>
      </c>
      <c r="CI158" s="14"/>
      <c r="CJ158" s="17">
        <f t="shared" si="156"/>
        <v>4.2633333333333319</v>
      </c>
      <c r="CK158" s="17">
        <f t="shared" si="157"/>
        <v>6.4266666666666659</v>
      </c>
      <c r="CL158" s="17">
        <f t="shared" si="158"/>
        <v>10.753333333333332</v>
      </c>
      <c r="CM158" s="38">
        <f t="shared" si="173"/>
        <v>12.916666666666666</v>
      </c>
      <c r="CN158" s="17">
        <f t="shared" si="159"/>
        <v>17.243333333333332</v>
      </c>
      <c r="CO158" s="17">
        <f t="shared" si="160"/>
        <v>19.406666666666666</v>
      </c>
      <c r="CP158" s="17">
        <f t="shared" si="161"/>
        <v>23.733333333333334</v>
      </c>
      <c r="CQ158" s="2" cm="1">
        <f t="array" aca="1" ref="CQ158" ca="1">MAX(_xlfn._xlws.FILTER(CJ158:CP158,CJ158:CP158&lt;BL158))</f>
        <v>12.916666666666666</v>
      </c>
      <c r="CR158" s="2" cm="1">
        <f t="array" aca="1" ref="CR158" ca="1">MIN(_xlfn._xlws.FILTER($CJ158:$CP158,$CJ158:$CP158&gt;BL158))</f>
        <v>17.243333333333332</v>
      </c>
      <c r="CS158" s="16">
        <f t="shared" ca="1" si="175"/>
        <v>0.33496774193548395</v>
      </c>
      <c r="CT158" s="20">
        <f t="shared" ca="1" si="176"/>
        <v>-0.16748387096774198</v>
      </c>
      <c r="CU158" s="20">
        <f t="shared" ca="1" si="177"/>
        <v>-0.11165591397849466</v>
      </c>
      <c r="CV158" s="20">
        <f t="shared" ca="1" si="178"/>
        <v>-6.6993548387096785E-2</v>
      </c>
      <c r="CW158" s="20">
        <f t="shared" ca="1" si="179"/>
        <v>-3.7218637992831552E-2</v>
      </c>
      <c r="CX158" s="20">
        <f t="shared" ca="1" si="180"/>
        <v>-1.9703984819734351E-2</v>
      </c>
      <c r="CY158" s="20">
        <f t="shared" ca="1" si="181"/>
        <v>-1.0150537634408605E-2</v>
      </c>
      <c r="CZ158" s="20">
        <f t="shared" ca="1" si="182"/>
        <v>-5.1533498759305223E-3</v>
      </c>
      <c r="DA158" s="21">
        <f t="shared" ca="1" si="183"/>
        <v>5.1533498759305223E-3</v>
      </c>
      <c r="DB158" s="21">
        <f t="shared" ca="1" si="184"/>
        <v>1.0150537634408605E-2</v>
      </c>
      <c r="DC158" s="21">
        <f t="shared" ca="1" si="185"/>
        <v>1.9703984819734351E-2</v>
      </c>
      <c r="DD158" s="21">
        <f t="shared" ca="1" si="186"/>
        <v>3.7218637992831552E-2</v>
      </c>
      <c r="DE158" s="21">
        <f t="shared" ca="1" si="187"/>
        <v>6.6993548387096785E-2</v>
      </c>
      <c r="DF158" s="21">
        <f t="shared" ca="1" si="188"/>
        <v>0.11165591397849466</v>
      </c>
      <c r="DG158" s="21">
        <f t="shared" ca="1" si="189"/>
        <v>0.16748387096774198</v>
      </c>
      <c r="DI158" s="16" cm="1">
        <f t="array" aca="1" ref="DI158" ca="1">MAX(_xlfn._xlws.FILTER(CT158:DG158,CT158:DG158&lt;BR158))</f>
        <v>-1.9703984819734351E-2</v>
      </c>
      <c r="DJ158" s="16" cm="1">
        <f t="array" aca="1" ref="DJ158" ca="1">MIN(_xlfn._xlws.FILTER(CT158:DG158,CT158:DG158&gt;BR158))</f>
        <v>-1.0150537634408605E-2</v>
      </c>
      <c r="DK158" s="2" cm="1">
        <f t="array" aca="1" ref="DK158" ca="1">_FV(EC158,"Fechamento anterior",TRUE)</f>
        <v>14.64</v>
      </c>
      <c r="DL158" s="28">
        <f t="shared" ca="1" si="162"/>
        <v>0.48952617046401203</v>
      </c>
      <c r="DM158" s="15">
        <f t="shared" ca="1" si="190"/>
        <v>14.35153366223909</v>
      </c>
      <c r="DN158" s="15">
        <f t="shared" ca="1" si="191"/>
        <v>14.491396129032259</v>
      </c>
      <c r="DO158" s="9"/>
      <c r="DP158" s="9"/>
      <c r="DQ158" s="9"/>
      <c r="DR158" s="89">
        <v>8.0688850227928384E-3</v>
      </c>
      <c r="DS158" s="89">
        <v>1.0200538760850043E-2</v>
      </c>
      <c r="DT158" s="89">
        <v>1.0306699751861045E-2</v>
      </c>
      <c r="DU158" s="89">
        <v>9.5534471853257457E-3</v>
      </c>
      <c r="DV158" s="89">
        <f t="shared" ca="1" si="163"/>
        <v>9.5534471853257457E-3</v>
      </c>
      <c r="DW158" s="72">
        <f t="shared" ca="1" si="164"/>
        <v>-0.40338872726494618</v>
      </c>
      <c r="DX158" s="37"/>
      <c r="DY158" s="35">
        <f t="shared" si="174"/>
        <v>0.27021082304172972</v>
      </c>
      <c r="DZ158" s="56"/>
      <c r="EA158" s="56"/>
      <c r="EC158" s="2" t="e" vm="160">
        <v>#VALUE!</v>
      </c>
      <c r="EE158" s="10" cm="1">
        <f t="array" aca="1" ref="EE158" ca="1">_FV(EC158,"Ações em circulação",TRUE)</f>
        <v>65492860</v>
      </c>
      <c r="EF158" s="18">
        <f>VLOOKUP(BM158,Fundamentus!A:U,5,FALSE)</f>
        <v>2.601</v>
      </c>
      <c r="EG158" s="2">
        <f t="shared" ca="1" si="165"/>
        <v>363093825.91311038</v>
      </c>
      <c r="EH158" s="17">
        <v>51922417.105574779</v>
      </c>
      <c r="EI158" s="17">
        <f t="shared" ca="1" si="166"/>
        <v>51922417.105574779</v>
      </c>
      <c r="EK158" s="16">
        <f t="shared" ca="1" si="153"/>
        <v>0</v>
      </c>
      <c r="EL158" s="32" t="str">
        <f>IF(VLOOKUP(BM158,Fundamentus!A:U,3,FALSE)&lt;15,"Bom",IF(VLOOKUP(BM158,Fundamentus!A:U,3,FALSE)&gt;15,"Ruim","n/a"))</f>
        <v>Ruim</v>
      </c>
      <c r="EM158" s="28" t="str">
        <f>IF(VLOOKUP(BM158,Fundamentus!A:U,4,FALSE)&lt;1,"Baixo",IF(VLOOKUP(BM158,Fundamentus!A:U,4,FALSE)&lt;1.5,"Moderado",IF(VLOOKUP(BM158,Fundamentus!A:U,4,FALSE)&gt;1.5,"Alto","n/a")))</f>
        <v>Alto</v>
      </c>
      <c r="EN158" s="17" t="str">
        <f>IF(VLOOKUP(BM158,Fundamentus!A:U,8,FALSE)&lt;0,"Risco elevado",IF(VLOOKUP(BM158,Fundamentus!A:U,8,FALSE)&lt;1,"Saudável",IF(VLOOKUP(BM158,Fundamentus!A:U,8,FALSE)&lt;3,"Estável",IF(VLOOKUP(BM158,Fundamentus!A:U,8,FALSE)&gt;3,"Alerta","n/a"))))</f>
        <v>Alerta</v>
      </c>
      <c r="EO158" s="28" t="str">
        <f t="shared" si="167"/>
        <v>Bom</v>
      </c>
      <c r="EP158" s="17" t="str">
        <f>IF(VLOOKUP(BM158,Fundamentus!A:U,12,FALSE)&lt;2,"Subvalorizada",IF(VLOOKUP(BM158,Fundamentus!A:U,12,FALSE)&lt;6,"Muita barata",IF(VLOOKUP(BM158,Fundamentus!A:U,12,FALSE)&lt;6,"Barata",IF(VLOOKUP(BM158,Fundamentus!A:U,12,FALSE)&lt;8,"Atrativa",IF(VLOOKUP(BM158,Fundamentus!A:U,12,FALSE)&gt;8,"Supervalorizada","n/a")))))</f>
        <v>Supervalorizada</v>
      </c>
      <c r="ER158" s="17" t="str">
        <f>IF(VLOOKUP(BM158,Fundamentus!A:U,17,FALSE)&lt;0.1,"Fraco retorno",IF(VLOOKUP(BM158,Fundamentus!A:U,17,FALSE)&gt;0.1,"Bom retorno","n/a"))</f>
        <v>Bom retorno</v>
      </c>
      <c r="ES158" s="17" t="str">
        <f>IF(VLOOKUP(BM158,Fundamentus!A:U,16,FALSE)&lt;0.1,"Ineficiente",IF(VLOOKUP(BM158,Fundamentus!A:U,16,FALSE)&gt;0.1,"Eficiente","n/a"))</f>
        <v>Eficiente</v>
      </c>
      <c r="ET158" s="33" t="str">
        <f>IF(VLOOKUP(BM158,Fundamentus!A:U,16,FALSE)&lt;0.1,"Oper. Ineficiente",IF(VLOOKUP(BM158,Fundamentus!A:U,16,FALSE)&gt;0.1,"Oper.Eficiente","n/a"))</f>
        <v>Oper.Eficiente</v>
      </c>
      <c r="EU158" s="34">
        <f>VLOOKUP(BM158,Fundamentus!A:U,14,FALSE)</f>
        <v>0.14299999999999999</v>
      </c>
      <c r="EV158" s="17" t="str">
        <f>IF(VLOOKUP(BM158,Fundamentus!A:U,21,FALSE)&lt;0,"Negativo",IF(VLOOKUP(BM158,Fundamentus!A:U,21,FALSE)&lt;0.05,"Fraco",IF(VLOOKUP(BM158,Fundamentus!A:U,21,FALSE)&lt;0.1,"Bom",IF(VLOOKUP(BM158,Fundamentus!A:U,21,FALSE)&gt;0.1,"Muito bom","n/a"))))</f>
        <v>Muito bom</v>
      </c>
      <c r="EX158" s="29" t="str">
        <f>IF(VLOOKUP(BM158,Fundamentus!A:U,15,FALSE)&gt;1,"Bom",IF(VLOOKUP(BM158,Fundamentus!A:U,15,FALSE)&lt;1,"Ruim","n/a"))</f>
        <v>Bom</v>
      </c>
      <c r="EY158" s="17" t="str">
        <f>IF(VLOOKUP(BM158,Fundamentus!A:U,20,FALSE)&lt;0.5,"Baixa",IF(VLOOKUP(BM158,Fundamentus!A:U,20,FALSE)&lt;1,"Moderada",IF(VLOOKUP(BM158,Fundamentus!A:U,20,FALSE)&lt;2,"Alerta",IF(VLOOKUP(BM158,Fundamentus!A:U,20,FALSE)&gt;2,"Alta","n/a"))))</f>
        <v>Baixa</v>
      </c>
      <c r="EZ158" s="10"/>
    </row>
    <row r="159" spans="1:156" s="2" customFormat="1" ht="11.25" x14ac:dyDescent="0.2">
      <c r="A159" s="4">
        <v>12.76</v>
      </c>
      <c r="B159" s="4">
        <v>12.58</v>
      </c>
      <c r="C159" s="4">
        <v>12.75</v>
      </c>
      <c r="D159" s="4">
        <v>12.73</v>
      </c>
      <c r="E159" s="4">
        <v>12.44</v>
      </c>
      <c r="F159" s="4">
        <v>12.7</v>
      </c>
      <c r="G159" s="4">
        <v>12.5</v>
      </c>
      <c r="H159" s="4">
        <v>12.43</v>
      </c>
      <c r="I159" s="4">
        <v>12.63</v>
      </c>
      <c r="J159" s="4">
        <v>13.14</v>
      </c>
      <c r="K159" s="4">
        <v>13.39</v>
      </c>
      <c r="L159" s="4">
        <v>12.56</v>
      </c>
      <c r="M159" s="4">
        <v>12.86</v>
      </c>
      <c r="N159" s="4">
        <v>12.56</v>
      </c>
      <c r="O159" s="4">
        <v>13.16</v>
      </c>
      <c r="P159" s="4">
        <v>13.61</v>
      </c>
      <c r="Q159" s="4">
        <v>13.72</v>
      </c>
      <c r="R159" s="4">
        <v>13.13</v>
      </c>
      <c r="S159" s="4">
        <v>13.86</v>
      </c>
      <c r="T159" s="4">
        <v>14.07</v>
      </c>
      <c r="U159" s="4">
        <v>14</v>
      </c>
      <c r="V159" s="4">
        <v>14.01</v>
      </c>
      <c r="W159" s="4">
        <v>14.1</v>
      </c>
      <c r="X159" s="4">
        <v>13.93</v>
      </c>
      <c r="Y159" s="4">
        <v>13.95</v>
      </c>
      <c r="Z159" s="4">
        <v>13.38</v>
      </c>
      <c r="AA159" s="4">
        <v>12.66</v>
      </c>
      <c r="AB159" s="4">
        <v>12.29</v>
      </c>
      <c r="AC159" s="4">
        <v>12</v>
      </c>
      <c r="AD159" s="4">
        <v>11.97</v>
      </c>
      <c r="AE159" s="4">
        <v>11.5</v>
      </c>
      <c r="AF159" s="4">
        <v>11.54</v>
      </c>
      <c r="AG159" s="4">
        <v>11.49</v>
      </c>
      <c r="AH159" s="4">
        <v>10.76</v>
      </c>
      <c r="AI159" s="4">
        <v>10.54</v>
      </c>
      <c r="AJ159" s="4">
        <v>10.07</v>
      </c>
      <c r="AK159" s="4">
        <v>10.69</v>
      </c>
      <c r="AL159" s="4">
        <v>10.83</v>
      </c>
      <c r="AM159" s="4">
        <v>10.81</v>
      </c>
      <c r="AN159" s="4">
        <v>11.8</v>
      </c>
      <c r="AO159" s="4">
        <v>11.65</v>
      </c>
      <c r="AP159" s="4">
        <v>12.24</v>
      </c>
      <c r="AQ159" s="4">
        <v>12.16</v>
      </c>
      <c r="AR159" s="4">
        <v>11.78</v>
      </c>
      <c r="AS159" s="4">
        <v>12.13</v>
      </c>
      <c r="AT159" s="4">
        <v>12.59</v>
      </c>
      <c r="AU159" s="4">
        <v>12.24</v>
      </c>
      <c r="AV159" s="4">
        <v>11.9</v>
      </c>
      <c r="AW159" s="4">
        <v>11.92</v>
      </c>
      <c r="AX159" s="4">
        <v>12.44</v>
      </c>
      <c r="AY159" s="12">
        <v>12.47</v>
      </c>
      <c r="AZ159" s="12">
        <v>13.27</v>
      </c>
      <c r="BA159" s="12">
        <v>13.51</v>
      </c>
      <c r="BB159" s="15">
        <v>14.08</v>
      </c>
      <c r="BC159" s="52">
        <v>14.5</v>
      </c>
      <c r="BD159" s="52">
        <v>14.17</v>
      </c>
      <c r="BE159" s="52">
        <v>13.97</v>
      </c>
      <c r="BF159" s="52">
        <v>13.85</v>
      </c>
      <c r="BG159" s="67">
        <v>13.57</v>
      </c>
      <c r="BH159" s="52">
        <v>13.75</v>
      </c>
      <c r="BI159" s="52">
        <v>13.51</v>
      </c>
      <c r="BJ159" s="52">
        <v>13.9</v>
      </c>
      <c r="BK159" s="52">
        <v>13.28</v>
      </c>
      <c r="BL159" s="52" cm="1">
        <f t="array" aca="1" ref="BL159" ca="1">_FV(EC159,"Preço")</f>
        <v>13.28</v>
      </c>
      <c r="BM159" s="69" t="s">
        <v>155</v>
      </c>
      <c r="BN159" s="36" cm="1">
        <f t="array" aca="1" ref="BN159" ca="1">_FV(EC159,"Média de volume",TRUE)</f>
        <v>5484140</v>
      </c>
      <c r="BO159" s="36">
        <v>5637600</v>
      </c>
      <c r="BP159" s="36" cm="1">
        <f t="array" aca="1" ref="BP159" ca="1">_FV(EC159,"Volume")</f>
        <v>5637600</v>
      </c>
      <c r="BQ159" s="24" cm="1">
        <f t="array" aca="1" ref="BQ159" ca="1">_FV(EC159,"Beta")</f>
        <v>0.86709999999999998</v>
      </c>
      <c r="BR159" s="71" cm="1">
        <f t="array" aca="1" ref="BR159" ca="1">_FV(EC159,"Variação (%)",TRUE)</f>
        <v>7.5359999999999999E-4</v>
      </c>
      <c r="BT159" s="17" cm="1">
        <f t="array" aca="1" ref="BT159" ca="1">_FV(EC159,"Baixo")</f>
        <v>13.06</v>
      </c>
      <c r="BU159" s="17" cm="1">
        <f t="array" aca="1" ref="BU159" ca="1">_FV(EC159,"Alto")</f>
        <v>13.38</v>
      </c>
      <c r="BV159" s="24"/>
      <c r="BW159" s="63">
        <f ca="1">SQRT(22.5*(BL159/VLOOKUP(BM159,Fundamentus!A:U,3,FALSE))*(BL159/VLOOKUP(BM159,Fundamentus!A:U,4,FALSE)))</f>
        <v>7.3359642086963639</v>
      </c>
      <c r="BY159" s="62">
        <f t="shared" ca="1" si="168"/>
        <v>0</v>
      </c>
      <c r="BZ159" s="8"/>
      <c r="CA159" s="61">
        <f t="shared" si="169"/>
        <v>10.07</v>
      </c>
      <c r="CB159" s="61">
        <f t="shared" si="170"/>
        <v>14.5</v>
      </c>
      <c r="CC159" s="61">
        <f t="shared" si="171"/>
        <v>12.710793650793653</v>
      </c>
      <c r="CD159" s="14"/>
      <c r="CE159" s="35">
        <f t="shared" si="154"/>
        <v>13.130721793430661</v>
      </c>
      <c r="CF159" s="15">
        <f t="shared" si="172"/>
        <v>13.558999999999969</v>
      </c>
      <c r="CG159" s="35">
        <f t="shared" si="155"/>
        <v>13.987278206569277</v>
      </c>
      <c r="CI159" s="14"/>
      <c r="CJ159" s="17">
        <f t="shared" si="156"/>
        <v>6.716666666666665</v>
      </c>
      <c r="CK159" s="17">
        <f t="shared" si="157"/>
        <v>8.3933333333333326</v>
      </c>
      <c r="CL159" s="17">
        <f t="shared" si="158"/>
        <v>11.146666666666665</v>
      </c>
      <c r="CM159" s="38">
        <f t="shared" si="173"/>
        <v>12.823333333333332</v>
      </c>
      <c r="CN159" s="17">
        <f t="shared" si="159"/>
        <v>15.576666666666664</v>
      </c>
      <c r="CO159" s="17">
        <f t="shared" si="160"/>
        <v>17.25333333333333</v>
      </c>
      <c r="CP159" s="17">
        <f t="shared" si="161"/>
        <v>20.006666666666664</v>
      </c>
      <c r="CQ159" s="2" cm="1">
        <f t="array" aca="1" ref="CQ159" ca="1">MAX(_xlfn._xlws.FILTER(CJ159:CP159,CJ159:CP159&lt;BL159))</f>
        <v>12.823333333333332</v>
      </c>
      <c r="CR159" s="2" cm="1">
        <f t="array" aca="1" ref="CR159" ca="1">MIN(_xlfn._xlws.FILTER($CJ159:$CP159,$CJ159:$CP159&gt;BL159))</f>
        <v>15.576666666666664</v>
      </c>
      <c r="CS159" s="16">
        <f t="shared" ca="1" si="175"/>
        <v>0.21471276319209776</v>
      </c>
      <c r="CT159" s="20">
        <f t="shared" ca="1" si="176"/>
        <v>-0.10735638159604888</v>
      </c>
      <c r="CU159" s="20">
        <f t="shared" ca="1" si="177"/>
        <v>-7.157092106403258E-2</v>
      </c>
      <c r="CV159" s="20">
        <f t="shared" ca="1" si="178"/>
        <v>-4.2942552638419548E-2</v>
      </c>
      <c r="CW159" s="20">
        <f t="shared" ca="1" si="179"/>
        <v>-2.385697368801086E-2</v>
      </c>
      <c r="CX159" s="20">
        <f t="shared" ca="1" si="180"/>
        <v>-1.2630162540711632E-2</v>
      </c>
      <c r="CY159" s="20">
        <f t="shared" ca="1" si="181"/>
        <v>-6.5064473694575074E-3</v>
      </c>
      <c r="CZ159" s="20">
        <f t="shared" ca="1" si="182"/>
        <v>-3.3032732798784271E-3</v>
      </c>
      <c r="DA159" s="21">
        <f t="shared" ca="1" si="183"/>
        <v>3.3032732798784271E-3</v>
      </c>
      <c r="DB159" s="21">
        <f t="shared" ca="1" si="184"/>
        <v>6.5064473694575074E-3</v>
      </c>
      <c r="DC159" s="21">
        <f t="shared" ca="1" si="185"/>
        <v>1.2630162540711632E-2</v>
      </c>
      <c r="DD159" s="21">
        <f t="shared" ca="1" si="186"/>
        <v>2.385697368801086E-2</v>
      </c>
      <c r="DE159" s="21">
        <f t="shared" ca="1" si="187"/>
        <v>4.2942552638419548E-2</v>
      </c>
      <c r="DF159" s="21">
        <f t="shared" ca="1" si="188"/>
        <v>7.157092106403258E-2</v>
      </c>
      <c r="DG159" s="21">
        <f t="shared" ca="1" si="189"/>
        <v>0.10735638159604888</v>
      </c>
      <c r="DI159" s="16" cm="1">
        <f t="array" aca="1" ref="DI159" ca="1">MAX(_xlfn._xlws.FILTER(CT159:DG159,CT159:DG159&lt;BR159))</f>
        <v>-3.3032732798784271E-3</v>
      </c>
      <c r="DJ159" s="16" cm="1">
        <f t="array" aca="1" ref="DJ159" ca="1">MIN(_xlfn._xlws.FILTER(CT159:DG159,CT159:DG159&gt;BR159))</f>
        <v>3.3032732798784271E-3</v>
      </c>
      <c r="DK159" s="2" cm="1">
        <f t="array" aca="1" ref="DK159" ca="1">_FV(EC159,"Fechamento anterior",TRUE)</f>
        <v>13.27</v>
      </c>
      <c r="DL159" s="28">
        <f t="shared" ca="1" si="162"/>
        <v>0.61406557053996458</v>
      </c>
      <c r="DM159" s="15">
        <f t="shared" ca="1" si="190"/>
        <v>13.226165563576012</v>
      </c>
      <c r="DN159" s="15">
        <f t="shared" ca="1" si="191"/>
        <v>13.313834436423987</v>
      </c>
      <c r="DO159" s="9"/>
      <c r="DP159" s="9"/>
      <c r="DQ159" s="9"/>
      <c r="DR159" s="89">
        <v>2.8454088995208747E-3</v>
      </c>
      <c r="DS159" s="89">
        <v>5.9299307271175623E-3</v>
      </c>
      <c r="DT159" s="89">
        <v>6.1237151712541247E-3</v>
      </c>
      <c r="DU159" s="89">
        <v>6.6065465597568542E-3</v>
      </c>
      <c r="DV159" s="89">
        <f t="shared" ca="1" si="163"/>
        <v>6.6065465597568542E-3</v>
      </c>
      <c r="DW159" s="72">
        <f t="shared" ca="1" si="164"/>
        <v>-0.65144570916853151</v>
      </c>
      <c r="DX159" s="37"/>
      <c r="DY159" s="35">
        <f t="shared" si="174"/>
        <v>0.21413910328465383</v>
      </c>
      <c r="DZ159" s="56"/>
      <c r="EA159" s="56"/>
      <c r="EC159" s="2" t="e" vm="161">
        <v>#VALUE!</v>
      </c>
      <c r="EE159" s="10" cm="1">
        <f t="array" aca="1" ref="EE159" ca="1">_FV(EC159,"Ações em circulação",TRUE)</f>
        <v>1932592000</v>
      </c>
      <c r="EF159" s="18">
        <f>VLOOKUP(BM159,Fundamentus!A:U,5,FALSE)</f>
        <v>1.9</v>
      </c>
      <c r="EG159" s="2">
        <f t="shared" ca="1" si="165"/>
        <v>13507800926.31579</v>
      </c>
      <c r="EH159" s="17">
        <v>930687483.82315803</v>
      </c>
      <c r="EI159" s="17">
        <f t="shared" ca="1" si="166"/>
        <v>930687483.82315803</v>
      </c>
      <c r="EK159" s="16">
        <f t="shared" ca="1" si="153"/>
        <v>0</v>
      </c>
      <c r="EL159" s="32" t="str">
        <f>IF(VLOOKUP(BM159,Fundamentus!A:U,3,FALSE)&lt;15,"Bom",IF(VLOOKUP(BM159,Fundamentus!A:U,3,FALSE)&gt;15,"Ruim","n/a"))</f>
        <v>Ruim</v>
      </c>
      <c r="EM159" s="28" t="str">
        <f>IF(VLOOKUP(BM159,Fundamentus!A:U,4,FALSE)&lt;1,"Baixo",IF(VLOOKUP(BM159,Fundamentus!A:U,4,FALSE)&lt;1.5,"Moderado",IF(VLOOKUP(BM159,Fundamentus!A:U,4,FALSE)&gt;1.5,"Alto","n/a")))</f>
        <v>Moderado</v>
      </c>
      <c r="EN159" s="17" t="str">
        <f>IF(VLOOKUP(BM159,Fundamentus!A:U,8,FALSE)&lt;0,"Risco elevado",IF(VLOOKUP(BM159,Fundamentus!A:U,8,FALSE)&lt;1,"Saudável",IF(VLOOKUP(BM159,Fundamentus!A:U,8,FALSE)&lt;3,"Estável",IF(VLOOKUP(BM159,Fundamentus!A:U,8,FALSE)&gt;3,"Alerta","n/a"))))</f>
        <v>Alerta</v>
      </c>
      <c r="EO159" s="28" t="str">
        <f t="shared" si="167"/>
        <v>Bom</v>
      </c>
      <c r="EP159" s="17" t="str">
        <f>IF(VLOOKUP(BM159,Fundamentus!A:U,12,FALSE)&lt;2,"Subvalorizada",IF(VLOOKUP(BM159,Fundamentus!A:U,12,FALSE)&lt;6,"Muita barata",IF(VLOOKUP(BM159,Fundamentus!A:U,12,FALSE)&lt;6,"Barata",IF(VLOOKUP(BM159,Fundamentus!A:U,12,FALSE)&lt;8,"Atrativa",IF(VLOOKUP(BM159,Fundamentus!A:U,12,FALSE)&gt;8,"Supervalorizada","n/a")))))</f>
        <v>Supervalorizada</v>
      </c>
      <c r="ER159" s="17" t="str">
        <f>IF(VLOOKUP(BM159,Fundamentus!A:U,17,FALSE)&lt;0.1,"Fraco retorno",IF(VLOOKUP(BM159,Fundamentus!A:U,17,FALSE)&gt;0.1,"Bom retorno","n/a"))</f>
        <v>Fraco retorno</v>
      </c>
      <c r="ES159" s="17" t="str">
        <f>IF(VLOOKUP(BM159,Fundamentus!A:U,16,FALSE)&lt;0.1,"Ineficiente",IF(VLOOKUP(BM159,Fundamentus!A:U,16,FALSE)&gt;0.1,"Eficiente","n/a"))</f>
        <v>Ineficiente</v>
      </c>
      <c r="ET159" s="33" t="str">
        <f>IF(VLOOKUP(BM159,Fundamentus!A:U,16,FALSE)&lt;0.1,"Oper. Ineficiente",IF(VLOOKUP(BM159,Fundamentus!A:U,16,FALSE)&gt;0.1,"Oper.Eficiente","n/a"))</f>
        <v>Oper. Ineficiente</v>
      </c>
      <c r="EU159" s="34">
        <f>VLOOKUP(BM159,Fundamentus!A:U,14,FALSE)</f>
        <v>6.8900000000000003E-2</v>
      </c>
      <c r="EV159" s="17" t="str">
        <f>IF(VLOOKUP(BM159,Fundamentus!A:U,21,FALSE)&lt;0,"Negativo",IF(VLOOKUP(BM159,Fundamentus!A:U,21,FALSE)&lt;0.05,"Fraco",IF(VLOOKUP(BM159,Fundamentus!A:U,21,FALSE)&lt;0.1,"Bom",IF(VLOOKUP(BM159,Fundamentus!A:U,21,FALSE)&gt;0.1,"Muito bom","n/a"))))</f>
        <v>Muito bom</v>
      </c>
      <c r="EX159" s="29" t="str">
        <f>IF(VLOOKUP(BM159,Fundamentus!A:U,15,FALSE)&gt;1,"Bom",IF(VLOOKUP(BM159,Fundamentus!A:U,15,FALSE)&lt;1,"Ruim","n/a"))</f>
        <v>Bom</v>
      </c>
      <c r="EY159" s="17" t="str">
        <f>IF(VLOOKUP(BM159,Fundamentus!A:U,20,FALSE)&lt;0.5,"Baixa",IF(VLOOKUP(BM159,Fundamentus!A:U,20,FALSE)&lt;1,"Moderada",IF(VLOOKUP(BM159,Fundamentus!A:U,20,FALSE)&lt;2,"Alerta",IF(VLOOKUP(BM159,Fundamentus!A:U,20,FALSE)&gt;2,"Alta","n/a"))))</f>
        <v>Alerta</v>
      </c>
      <c r="EZ159" s="10"/>
    </row>
    <row r="160" spans="1:156" s="2" customFormat="1" ht="11.25" x14ac:dyDescent="0.2">
      <c r="A160" s="4">
        <v>4.95</v>
      </c>
      <c r="B160" s="4">
        <v>5.0599999999999996</v>
      </c>
      <c r="C160" s="4">
        <v>4.92</v>
      </c>
      <c r="D160" s="4">
        <v>5.09</v>
      </c>
      <c r="E160" s="4">
        <v>5.01</v>
      </c>
      <c r="F160" s="4">
        <v>5.71</v>
      </c>
      <c r="G160" s="4">
        <v>5.29</v>
      </c>
      <c r="H160" s="4">
        <v>5.07</v>
      </c>
      <c r="I160" s="4">
        <v>4.9800000000000004</v>
      </c>
      <c r="J160" s="4">
        <v>5.0199999999999996</v>
      </c>
      <c r="K160" s="4">
        <v>5.08</v>
      </c>
      <c r="L160" s="4">
        <v>4.54</v>
      </c>
      <c r="M160" s="4">
        <v>4.4000000000000004</v>
      </c>
      <c r="N160" s="4">
        <v>4.2</v>
      </c>
      <c r="O160" s="4">
        <v>4.25</v>
      </c>
      <c r="P160" s="4">
        <v>5.08</v>
      </c>
      <c r="Q160" s="4">
        <v>6</v>
      </c>
      <c r="R160" s="4">
        <v>6.4</v>
      </c>
      <c r="S160" s="4">
        <v>8.0500000000000007</v>
      </c>
      <c r="T160" s="4">
        <v>8.0399999999999991</v>
      </c>
      <c r="U160" s="4">
        <v>7.71</v>
      </c>
      <c r="V160" s="4">
        <v>7.01</v>
      </c>
      <c r="W160" s="4">
        <v>6.61</v>
      </c>
      <c r="X160" s="4">
        <v>6.35</v>
      </c>
      <c r="Y160" s="4">
        <v>6.29</v>
      </c>
      <c r="Z160" s="4">
        <v>6</v>
      </c>
      <c r="AA160" s="4">
        <v>5.01</v>
      </c>
      <c r="AB160" s="4">
        <v>4.92</v>
      </c>
      <c r="AC160" s="4">
        <v>4.33</v>
      </c>
      <c r="AD160" s="4">
        <v>4.3499999999999996</v>
      </c>
      <c r="AE160" s="4">
        <v>4.34</v>
      </c>
      <c r="AF160" s="4">
        <v>4.3600000000000003</v>
      </c>
      <c r="AG160" s="4">
        <v>4.25</v>
      </c>
      <c r="AH160" s="4">
        <v>4.25</v>
      </c>
      <c r="AI160" s="4">
        <v>3.97</v>
      </c>
      <c r="AJ160" s="4">
        <v>4</v>
      </c>
      <c r="AK160" s="4">
        <v>4.05</v>
      </c>
      <c r="AL160" s="4">
        <v>3.95</v>
      </c>
      <c r="AM160" s="4">
        <v>3.94</v>
      </c>
      <c r="AN160" s="4">
        <v>4.13</v>
      </c>
      <c r="AO160" s="4">
        <v>4.0199999999999996</v>
      </c>
      <c r="AP160" s="4">
        <v>4.07</v>
      </c>
      <c r="AQ160" s="4">
        <v>3.79</v>
      </c>
      <c r="AR160" s="4">
        <v>4.03</v>
      </c>
      <c r="AS160" s="4">
        <v>4.12</v>
      </c>
      <c r="AT160" s="4">
        <v>4.07</v>
      </c>
      <c r="AU160" s="4">
        <v>4.5199999999999996</v>
      </c>
      <c r="AV160" s="4">
        <v>4.55</v>
      </c>
      <c r="AW160" s="4">
        <v>4.83</v>
      </c>
      <c r="AX160" s="4">
        <v>4.58</v>
      </c>
      <c r="AY160" s="12">
        <v>4.67</v>
      </c>
      <c r="AZ160" s="12">
        <v>5.15</v>
      </c>
      <c r="BA160" s="12">
        <v>5</v>
      </c>
      <c r="BB160" s="15">
        <v>5</v>
      </c>
      <c r="BC160" s="52">
        <v>5.55</v>
      </c>
      <c r="BD160" s="52">
        <v>6.26</v>
      </c>
      <c r="BE160" s="52">
        <v>6.2</v>
      </c>
      <c r="BF160" s="52">
        <v>6.78</v>
      </c>
      <c r="BG160" s="67">
        <v>7.02</v>
      </c>
      <c r="BH160" s="52">
        <v>7.19</v>
      </c>
      <c r="BI160" s="52">
        <v>6.83</v>
      </c>
      <c r="BJ160" s="52">
        <v>6.58</v>
      </c>
      <c r="BK160" s="52">
        <v>5.63</v>
      </c>
      <c r="BL160" s="52" cm="1">
        <f t="array" aca="1" ref="BL160" ca="1">_FV(EC160,"Preço")</f>
        <v>5.63</v>
      </c>
      <c r="BM160" s="69" t="s">
        <v>156</v>
      </c>
      <c r="BN160" s="36" cm="1">
        <f t="array" aca="1" ref="BN160" ca="1">_FV(EC160,"Média de volume",TRUE)</f>
        <v>1660060</v>
      </c>
      <c r="BO160" s="36">
        <v>621900</v>
      </c>
      <c r="BP160" s="36" cm="1">
        <f t="array" aca="1" ref="BP160" ca="1">_FV(EC160,"Volume")</f>
        <v>621900</v>
      </c>
      <c r="BQ160" s="24" cm="1">
        <f t="array" aca="1" ref="BQ160" ca="1">_FV(EC160,"Beta")</f>
        <v>2.2254999999999998</v>
      </c>
      <c r="BR160" s="71" cm="1">
        <f t="array" aca="1" ref="BR160" ca="1">_FV(EC160,"Variação (%)",TRUE)</f>
        <v>1.779E-3</v>
      </c>
      <c r="BT160" s="17" cm="1">
        <f t="array" aca="1" ref="BT160" ca="1">_FV(EC160,"Baixo")</f>
        <v>5.5</v>
      </c>
      <c r="BU160" s="17" cm="1">
        <f t="array" aca="1" ref="BU160" ca="1">_FV(EC160,"Alto")</f>
        <v>5.73</v>
      </c>
      <c r="BV160" s="24"/>
      <c r="BW160" s="63">
        <f ca="1">SQRT(22.5*(BL160/VLOOKUP(BM160,Fundamentus!A:U,3,FALSE))*(BL160/VLOOKUP(BM160,Fundamentus!A:U,4,FALSE)))</f>
        <v>37.888626357343391</v>
      </c>
      <c r="BY160" s="62">
        <f t="shared" ca="1" si="168"/>
        <v>0</v>
      </c>
      <c r="BZ160" s="8"/>
      <c r="CA160" s="61">
        <f t="shared" si="169"/>
        <v>3.79</v>
      </c>
      <c r="CB160" s="61">
        <f t="shared" si="170"/>
        <v>8.0500000000000007</v>
      </c>
      <c r="CC160" s="61">
        <f t="shared" si="171"/>
        <v>5.1968253968253952</v>
      </c>
      <c r="CD160" s="14"/>
      <c r="CE160" s="35">
        <f t="shared" si="154"/>
        <v>5.3042615919604925</v>
      </c>
      <c r="CF160" s="15">
        <f t="shared" si="172"/>
        <v>6.3110000000001492</v>
      </c>
      <c r="CG160" s="35">
        <f t="shared" si="155"/>
        <v>7.3177384080398058</v>
      </c>
      <c r="CI160" s="14"/>
      <c r="CJ160" s="17">
        <f t="shared" si="156"/>
        <v>-3.0000000000000249E-2</v>
      </c>
      <c r="CK160" s="17">
        <f t="shared" si="157"/>
        <v>1.88</v>
      </c>
      <c r="CL160" s="17">
        <f t="shared" si="158"/>
        <v>4.2300000000000004</v>
      </c>
      <c r="CM160" s="38">
        <f t="shared" si="173"/>
        <v>6.1400000000000006</v>
      </c>
      <c r="CN160" s="17">
        <f t="shared" si="159"/>
        <v>8.490000000000002</v>
      </c>
      <c r="CO160" s="17">
        <f t="shared" si="160"/>
        <v>10.400000000000002</v>
      </c>
      <c r="CP160" s="17">
        <f t="shared" si="161"/>
        <v>12.750000000000002</v>
      </c>
      <c r="CQ160" s="2" cm="1">
        <f t="array" aca="1" ref="CQ160" ca="1">MAX(_xlfn._xlws.FILTER(CJ160:CP160,CJ160:CP160&lt;BL160))</f>
        <v>4.2300000000000004</v>
      </c>
      <c r="CR160" s="2" cm="1">
        <f t="array" aca="1" ref="CR160" ca="1">MIN(_xlfn._xlws.FILTER($CJ160:$CP160,$CJ160:$CP160&gt;BL160))</f>
        <v>6.1400000000000006</v>
      </c>
      <c r="CS160" s="16">
        <f t="shared" ca="1" si="175"/>
        <v>0.45153664302600482</v>
      </c>
      <c r="CT160" s="20">
        <f t="shared" ca="1" si="176"/>
        <v>-0.22576832151300241</v>
      </c>
      <c r="CU160" s="20">
        <f t="shared" ca="1" si="177"/>
        <v>-0.1505122143420016</v>
      </c>
      <c r="CV160" s="20">
        <f t="shared" ca="1" si="178"/>
        <v>-9.0307328605200965E-2</v>
      </c>
      <c r="CW160" s="20">
        <f t="shared" ca="1" si="179"/>
        <v>-5.0170738114000538E-2</v>
      </c>
      <c r="CX160" s="20">
        <f t="shared" ca="1" si="180"/>
        <v>-2.6560979001529695E-2</v>
      </c>
      <c r="CY160" s="20">
        <f t="shared" ca="1" si="181"/>
        <v>-1.36829285765456E-2</v>
      </c>
      <c r="CZ160" s="20">
        <f t="shared" ca="1" si="182"/>
        <v>-6.9467175850154586E-3</v>
      </c>
      <c r="DA160" s="21">
        <f t="shared" ca="1" si="183"/>
        <v>6.9467175850154586E-3</v>
      </c>
      <c r="DB160" s="21">
        <f t="shared" ca="1" si="184"/>
        <v>1.36829285765456E-2</v>
      </c>
      <c r="DC160" s="21">
        <f t="shared" ca="1" si="185"/>
        <v>2.6560979001529695E-2</v>
      </c>
      <c r="DD160" s="21">
        <f t="shared" ca="1" si="186"/>
        <v>5.0170738114000538E-2</v>
      </c>
      <c r="DE160" s="21">
        <f t="shared" ca="1" si="187"/>
        <v>9.0307328605200965E-2</v>
      </c>
      <c r="DF160" s="21">
        <f t="shared" ca="1" si="188"/>
        <v>0.1505122143420016</v>
      </c>
      <c r="DG160" s="21">
        <f t="shared" ca="1" si="189"/>
        <v>0.22576832151300241</v>
      </c>
      <c r="DI160" s="16" cm="1">
        <f t="array" aca="1" ref="DI160" ca="1">MAX(_xlfn._xlws.FILTER(CT160:DG160,CT160:DG160&lt;BR160))</f>
        <v>-6.9467175850154586E-3</v>
      </c>
      <c r="DJ160" s="16" cm="1">
        <f t="array" aca="1" ref="DJ160" ca="1">MIN(_xlfn._xlws.FILTER(CT160:DG160,CT160:DG160&gt;BR160))</f>
        <v>6.9467175850154586E-3</v>
      </c>
      <c r="DK160" s="2" cm="1">
        <f t="array" aca="1" ref="DK160" ca="1">_FV(EC160,"Fechamento anterior",TRUE)</f>
        <v>5.62</v>
      </c>
      <c r="DL160" s="28">
        <f t="shared" ca="1" si="162"/>
        <v>0.62807195692272955</v>
      </c>
      <c r="DM160" s="15">
        <f t="shared" ca="1" si="190"/>
        <v>5.580959447172213</v>
      </c>
      <c r="DN160" s="15">
        <f t="shared" ca="1" si="191"/>
        <v>5.6590405528277872</v>
      </c>
      <c r="DO160" s="9"/>
      <c r="DP160" s="9"/>
      <c r="DQ160" s="9"/>
      <c r="DR160" s="89">
        <v>2.869432863476936E-2</v>
      </c>
      <c r="DS160" s="89">
        <v>1.1326539677858991E-2</v>
      </c>
      <c r="DT160" s="89">
        <v>5.7098167847353535E-3</v>
      </c>
      <c r="DU160" s="89">
        <v>1.3893435170030917E-2</v>
      </c>
      <c r="DV160" s="89">
        <f t="shared" ca="1" si="163"/>
        <v>1.3893435170030917E-2</v>
      </c>
      <c r="DW160" s="72">
        <f t="shared" ca="1" si="164"/>
        <v>-0.67644185874084961</v>
      </c>
      <c r="DX160" s="37"/>
      <c r="DY160" s="35">
        <f t="shared" si="174"/>
        <v>0.50336920401982843</v>
      </c>
      <c r="DZ160" s="56"/>
      <c r="EA160" s="56"/>
      <c r="EC160" s="2" t="e" vm="162">
        <v>#VALUE!</v>
      </c>
      <c r="EE160" s="10" cm="1">
        <f t="array" aca="1" ref="EE160" ca="1">_FV(EC160,"Ações em circulação",TRUE)</f>
        <v>372555300</v>
      </c>
      <c r="EF160" s="18">
        <f>VLOOKUP(BM160,Fundamentus!A:U,5,FALSE)</f>
        <v>0.17100000000000001</v>
      </c>
      <c r="EG160" s="2">
        <f t="shared" ca="1" si="165"/>
        <v>12266001982.456139</v>
      </c>
      <c r="EH160" s="17">
        <v>1940481513.6245613</v>
      </c>
      <c r="EI160" s="17">
        <f t="shared" ca="1" si="166"/>
        <v>1940481513.6245613</v>
      </c>
      <c r="EK160" s="16">
        <f t="shared" ca="1" si="153"/>
        <v>0</v>
      </c>
      <c r="EL160" s="32" t="str">
        <f>IF(VLOOKUP(BM160,Fundamentus!A:U,3,FALSE)&lt;15,"Bom",IF(VLOOKUP(BM160,Fundamentus!A:U,3,FALSE)&gt;15,"Ruim","n/a"))</f>
        <v>Bom</v>
      </c>
      <c r="EM160" s="28" t="str">
        <f>IF(VLOOKUP(BM160,Fundamentus!A:U,4,FALSE)&lt;1,"Baixo",IF(VLOOKUP(BM160,Fundamentus!A:U,4,FALSE)&lt;1.5,"Moderado",IF(VLOOKUP(BM160,Fundamentus!A:U,4,FALSE)&gt;1.5,"Alto","n/a")))</f>
        <v>Baixo</v>
      </c>
      <c r="EN160" s="17" t="str">
        <f>IF(VLOOKUP(BM160,Fundamentus!A:U,8,FALSE)&lt;0,"Risco elevado",IF(VLOOKUP(BM160,Fundamentus!A:U,8,FALSE)&lt;1,"Saudável",IF(VLOOKUP(BM160,Fundamentus!A:U,8,FALSE)&lt;3,"Estável",IF(VLOOKUP(BM160,Fundamentus!A:U,8,FALSE)&gt;3,"Alerta","n/a"))))</f>
        <v>Estável</v>
      </c>
      <c r="EO160" s="28" t="str">
        <f t="shared" si="167"/>
        <v>Ruim</v>
      </c>
      <c r="EP160" s="17" t="str">
        <f>IF(VLOOKUP(BM160,Fundamentus!A:U,12,FALSE)&lt;2,"Subvalorizada",IF(VLOOKUP(BM160,Fundamentus!A:U,12,FALSE)&lt;6,"Muita barata",IF(VLOOKUP(BM160,Fundamentus!A:U,12,FALSE)&lt;6,"Barata",IF(VLOOKUP(BM160,Fundamentus!A:U,12,FALSE)&lt;8,"Atrativa",IF(VLOOKUP(BM160,Fundamentus!A:U,12,FALSE)&gt;8,"Supervalorizada","n/a")))))</f>
        <v>Muita barata</v>
      </c>
      <c r="ER160" s="17" t="str">
        <f>IF(VLOOKUP(BM160,Fundamentus!A:U,17,FALSE)&lt;0.1,"Fraco retorno",IF(VLOOKUP(BM160,Fundamentus!A:U,17,FALSE)&gt;0.1,"Bom retorno","n/a"))</f>
        <v>Bom retorno</v>
      </c>
      <c r="ES160" s="17" t="str">
        <f>IF(VLOOKUP(BM160,Fundamentus!A:U,16,FALSE)&lt;0.1,"Ineficiente",IF(VLOOKUP(BM160,Fundamentus!A:U,16,FALSE)&gt;0.1,"Eficiente","n/a"))</f>
        <v>Ineficiente</v>
      </c>
      <c r="ET160" s="33" t="str">
        <f>IF(VLOOKUP(BM160,Fundamentus!A:U,16,FALSE)&lt;0.1,"Oper. Ineficiente",IF(VLOOKUP(BM160,Fundamentus!A:U,16,FALSE)&gt;0.1,"Oper.Eficiente","n/a"))</f>
        <v>Oper. Ineficiente</v>
      </c>
      <c r="EU160" s="34">
        <f>VLOOKUP(BM160,Fundamentus!A:U,14,FALSE)</f>
        <v>0.15820000000000001</v>
      </c>
      <c r="EV160" s="17" t="str">
        <f>IF(VLOOKUP(BM160,Fundamentus!A:U,21,FALSE)&lt;0,"Negativo",IF(VLOOKUP(BM160,Fundamentus!A:U,21,FALSE)&lt;0.05,"Fraco",IF(VLOOKUP(BM160,Fundamentus!A:U,21,FALSE)&lt;0.1,"Bom",IF(VLOOKUP(BM160,Fundamentus!A:U,21,FALSE)&gt;0.1,"Muito bom","n/a"))))</f>
        <v>Fraco</v>
      </c>
      <c r="EX160" s="29" t="str">
        <f>IF(VLOOKUP(BM160,Fundamentus!A:U,15,FALSE)&gt;1,"Bom",IF(VLOOKUP(BM160,Fundamentus!A:U,15,FALSE)&lt;1,"Ruim","n/a"))</f>
        <v>Bom</v>
      </c>
      <c r="EY160" s="17" t="str">
        <f>IF(VLOOKUP(BM160,Fundamentus!A:U,20,FALSE)&lt;0.5,"Baixa",IF(VLOOKUP(BM160,Fundamentus!A:U,20,FALSE)&lt;1,"Moderada",IF(VLOOKUP(BM160,Fundamentus!A:U,20,FALSE)&lt;2,"Alerta",IF(VLOOKUP(BM160,Fundamentus!A:U,20,FALSE)&gt;2,"Alta","n/a"))))</f>
        <v>Alerta</v>
      </c>
      <c r="EZ160" s="10"/>
    </row>
    <row r="161" spans="1:156" s="2" customFormat="1" ht="11.25" x14ac:dyDescent="0.2">
      <c r="A161" s="4">
        <v>4.54</v>
      </c>
      <c r="B161" s="4">
        <v>4.49</v>
      </c>
      <c r="C161" s="4">
        <v>4.41</v>
      </c>
      <c r="D161" s="4">
        <v>4.38</v>
      </c>
      <c r="E161" s="4">
        <v>4.01</v>
      </c>
      <c r="F161" s="4">
        <v>4.0999999999999996</v>
      </c>
      <c r="G161" s="4">
        <v>3.85</v>
      </c>
      <c r="H161" s="4">
        <v>3.75</v>
      </c>
      <c r="I161" s="4">
        <v>3.72</v>
      </c>
      <c r="J161" s="4">
        <v>4.13</v>
      </c>
      <c r="K161" s="4">
        <v>4.16</v>
      </c>
      <c r="L161" s="4">
        <v>3.86</v>
      </c>
      <c r="M161" s="4">
        <v>4.04</v>
      </c>
      <c r="N161" s="4">
        <v>3.92</v>
      </c>
      <c r="O161" s="4">
        <v>4.32</v>
      </c>
      <c r="P161" s="4">
        <v>3.92</v>
      </c>
      <c r="Q161" s="4">
        <v>4.0199999999999996</v>
      </c>
      <c r="R161" s="4">
        <v>3.65</v>
      </c>
      <c r="S161" s="4">
        <v>3.56</v>
      </c>
      <c r="T161" s="4">
        <v>3.63</v>
      </c>
      <c r="U161" s="4">
        <v>3.49</v>
      </c>
      <c r="V161" s="4">
        <v>3.44</v>
      </c>
      <c r="W161" s="4">
        <v>3.3</v>
      </c>
      <c r="X161" s="4">
        <v>3.18</v>
      </c>
      <c r="Y161" s="4">
        <v>3.2</v>
      </c>
      <c r="Z161" s="4">
        <v>3.43</v>
      </c>
      <c r="AA161" s="4">
        <v>3.1</v>
      </c>
      <c r="AB161" s="4">
        <v>3.18</v>
      </c>
      <c r="AC161" s="4">
        <v>3.3</v>
      </c>
      <c r="AD161" s="4">
        <v>3.58</v>
      </c>
      <c r="AE161" s="4">
        <v>3.39</v>
      </c>
      <c r="AF161" s="4">
        <v>3.17</v>
      </c>
      <c r="AG161" s="4">
        <v>2.99</v>
      </c>
      <c r="AH161" s="4">
        <v>3.06</v>
      </c>
      <c r="AI161" s="4">
        <v>3.11</v>
      </c>
      <c r="AJ161" s="4">
        <v>3</v>
      </c>
      <c r="AK161" s="4">
        <v>3.08</v>
      </c>
      <c r="AL161" s="4">
        <v>3.15</v>
      </c>
      <c r="AM161" s="4">
        <v>3.22</v>
      </c>
      <c r="AN161" s="4">
        <v>3.44</v>
      </c>
      <c r="AO161" s="4">
        <v>3.48</v>
      </c>
      <c r="AP161" s="4">
        <v>3.66</v>
      </c>
      <c r="AQ161" s="4">
        <v>3.68</v>
      </c>
      <c r="AR161" s="4">
        <v>3.38</v>
      </c>
      <c r="AS161" s="4">
        <v>3.59</v>
      </c>
      <c r="AT161" s="4">
        <v>3.68</v>
      </c>
      <c r="AU161" s="4">
        <v>3.56</v>
      </c>
      <c r="AV161" s="4">
        <v>3.88</v>
      </c>
      <c r="AW161" s="4">
        <v>3.42</v>
      </c>
      <c r="AX161" s="4">
        <v>3.69</v>
      </c>
      <c r="AY161" s="12">
        <v>3.86</v>
      </c>
      <c r="AZ161" s="12">
        <v>3.98</v>
      </c>
      <c r="BA161" s="12">
        <v>4.09</v>
      </c>
      <c r="BB161" s="15">
        <v>4.08</v>
      </c>
      <c r="BC161" s="52">
        <v>4.3099999999999996</v>
      </c>
      <c r="BD161" s="52">
        <v>5.12</v>
      </c>
      <c r="BE161" s="52">
        <v>5.28</v>
      </c>
      <c r="BF161" s="52">
        <v>4.97</v>
      </c>
      <c r="BG161" s="67">
        <v>5.2</v>
      </c>
      <c r="BH161" s="52">
        <v>5.17</v>
      </c>
      <c r="BI161" s="52">
        <v>5.0999999999999996</v>
      </c>
      <c r="BJ161" s="52">
        <v>5.0999999999999996</v>
      </c>
      <c r="BK161" s="52">
        <v>4.8</v>
      </c>
      <c r="BL161" s="52" cm="1">
        <f t="array" aca="1" ref="BL161" ca="1">_FV(EC161,"Preço")</f>
        <v>4.8</v>
      </c>
      <c r="BM161" s="69" t="s">
        <v>157</v>
      </c>
      <c r="BN161" s="36" cm="1">
        <f t="array" aca="1" ref="BN161" ca="1">_FV(EC161,"Média de volume",TRUE)</f>
        <v>475920</v>
      </c>
      <c r="BO161" s="36">
        <v>302200</v>
      </c>
      <c r="BP161" s="36" cm="1">
        <f t="array" aca="1" ref="BP161" ca="1">_FV(EC161,"Volume")</f>
        <v>302200</v>
      </c>
      <c r="BQ161" s="24" cm="1">
        <f t="array" aca="1" ref="BQ161" ca="1">_FV(EC161,"Beta")</f>
        <v>2.3513999999999999</v>
      </c>
      <c r="BR161" s="71" cm="1">
        <f t="array" aca="1" ref="BR161" ca="1">_FV(EC161,"Variação (%)",TRUE)</f>
        <v>-3.2258000000000002E-2</v>
      </c>
      <c r="BT161" s="17" cm="1">
        <f t="array" aca="1" ref="BT161" ca="1">_FV(EC161,"Baixo")</f>
        <v>4.8</v>
      </c>
      <c r="BU161" s="17" cm="1">
        <f t="array" aca="1" ref="BU161" ca="1">_FV(EC161,"Alto")</f>
        <v>4.95</v>
      </c>
      <c r="BV161" s="24"/>
      <c r="BW161" s="63">
        <f ca="1">SQRT(22.5*(BL161/VLOOKUP(BM161,Fundamentus!A:U,3,FALSE))*(BL161/VLOOKUP(BM161,Fundamentus!A:U,4,FALSE)))</f>
        <v>6.5613620857372661</v>
      </c>
      <c r="BY161" s="62">
        <f t="shared" ca="1" si="168"/>
        <v>0</v>
      </c>
      <c r="BZ161" s="8"/>
      <c r="CA161" s="61">
        <f t="shared" si="169"/>
        <v>2.99</v>
      </c>
      <c r="CB161" s="61">
        <f t="shared" si="170"/>
        <v>5.28</v>
      </c>
      <c r="CC161" s="61">
        <f t="shared" si="171"/>
        <v>3.8468253968253974</v>
      </c>
      <c r="CD161" s="14"/>
      <c r="CE161" s="35">
        <f t="shared" si="154"/>
        <v>4.7155430257133819</v>
      </c>
      <c r="CF161" s="15">
        <f t="shared" si="172"/>
        <v>4.98700000000008</v>
      </c>
      <c r="CG161" s="35">
        <f t="shared" si="155"/>
        <v>5.2584569742867782</v>
      </c>
      <c r="CI161" s="14"/>
      <c r="CJ161" s="17">
        <f t="shared" si="156"/>
        <v>1.3433333333333319</v>
      </c>
      <c r="CK161" s="17">
        <f t="shared" si="157"/>
        <v>2.1666666666666661</v>
      </c>
      <c r="CL161" s="17">
        <f t="shared" si="158"/>
        <v>3.633333333333332</v>
      </c>
      <c r="CM161" s="38">
        <f t="shared" si="173"/>
        <v>4.4566666666666661</v>
      </c>
      <c r="CN161" s="17">
        <f t="shared" si="159"/>
        <v>5.923333333333332</v>
      </c>
      <c r="CO161" s="17">
        <f t="shared" si="160"/>
        <v>6.7466666666666661</v>
      </c>
      <c r="CP161" s="17">
        <f t="shared" si="161"/>
        <v>8.2133333333333312</v>
      </c>
      <c r="CQ161" s="2" cm="1">
        <f t="array" aca="1" ref="CQ161" ca="1">MAX(_xlfn._xlws.FILTER(CJ161:CP161,CJ161:CP161&lt;BL161))</f>
        <v>4.4566666666666661</v>
      </c>
      <c r="CR161" s="2" cm="1">
        <f t="array" aca="1" ref="CR161" ca="1">MIN(_xlfn._xlws.FILTER($CJ161:$CP161,$CJ161:$CP161&gt;BL161))</f>
        <v>5.923333333333332</v>
      </c>
      <c r="CS161" s="16">
        <f t="shared" ca="1" si="175"/>
        <v>0.32909498878085253</v>
      </c>
      <c r="CT161" s="20">
        <f t="shared" ca="1" si="176"/>
        <v>-0.16454749439042626</v>
      </c>
      <c r="CU161" s="20">
        <f t="shared" ca="1" si="177"/>
        <v>-0.10969832959361751</v>
      </c>
      <c r="CV161" s="20">
        <f t="shared" ca="1" si="178"/>
        <v>-6.5818997756170505E-2</v>
      </c>
      <c r="CW161" s="20">
        <f t="shared" ca="1" si="179"/>
        <v>-3.6566109864539169E-2</v>
      </c>
      <c r="CX161" s="20">
        <f t="shared" ca="1" si="180"/>
        <v>-1.9358528751814853E-2</v>
      </c>
      <c r="CY161" s="20">
        <f t="shared" ca="1" si="181"/>
        <v>-9.9725754176015913E-3</v>
      </c>
      <c r="CZ161" s="20">
        <f t="shared" ca="1" si="182"/>
        <v>-5.0629998273977314E-3</v>
      </c>
      <c r="DA161" s="21">
        <f t="shared" ca="1" si="183"/>
        <v>5.0629998273977314E-3</v>
      </c>
      <c r="DB161" s="21">
        <f t="shared" ca="1" si="184"/>
        <v>9.9725754176015913E-3</v>
      </c>
      <c r="DC161" s="21">
        <f t="shared" ca="1" si="185"/>
        <v>1.9358528751814853E-2</v>
      </c>
      <c r="DD161" s="21">
        <f t="shared" ca="1" si="186"/>
        <v>3.6566109864539169E-2</v>
      </c>
      <c r="DE161" s="21">
        <f t="shared" ca="1" si="187"/>
        <v>6.5818997756170505E-2</v>
      </c>
      <c r="DF161" s="21">
        <f t="shared" ca="1" si="188"/>
        <v>0.10969832959361751</v>
      </c>
      <c r="DG161" s="21">
        <f t="shared" ca="1" si="189"/>
        <v>0.16454749439042626</v>
      </c>
      <c r="DI161" s="16" cm="1">
        <f t="array" aca="1" ref="DI161" ca="1">MAX(_xlfn._xlws.FILTER(CT161:DG161,CT161:DG161&lt;BR161))</f>
        <v>-3.6566109864539169E-2</v>
      </c>
      <c r="DJ161" s="16" cm="1">
        <f t="array" aca="1" ref="DJ161" ca="1">MIN(_xlfn._xlws.FILTER(CT161:DG161,CT161:DG161&gt;BR161))</f>
        <v>-1.9358528751814853E-2</v>
      </c>
      <c r="DK161" s="2" cm="1">
        <f t="array" aca="1" ref="DK161" ca="1">_FV(EC161,"Fechamento anterior",TRUE)</f>
        <v>4.96</v>
      </c>
      <c r="DL161" s="28">
        <f t="shared" ca="1" si="162"/>
        <v>0.25035740469208195</v>
      </c>
      <c r="DM161" s="15">
        <f t="shared" ca="1" si="190"/>
        <v>4.7786320950718855</v>
      </c>
      <c r="DN161" s="15">
        <f t="shared" ca="1" si="191"/>
        <v>4.8639816973909982</v>
      </c>
      <c r="DO161" s="9"/>
      <c r="DP161" s="9"/>
      <c r="DQ161" s="9"/>
      <c r="DR161" s="89">
        <v>1.5674029174511328E-2</v>
      </c>
      <c r="DS161" s="89">
        <v>1.7468011703567835E-2</v>
      </c>
      <c r="DT161" s="89">
        <v>4.90957559020386E-3</v>
      </c>
      <c r="DU161" s="89">
        <v>1.7207581112724316E-2</v>
      </c>
      <c r="DV161" s="89">
        <f t="shared" ca="1" si="163"/>
        <v>1.7207581112724316E-2</v>
      </c>
      <c r="DW161" s="72">
        <f t="shared" ca="1" si="164"/>
        <v>-0.68887528305896817</v>
      </c>
      <c r="DX161" s="37"/>
      <c r="DY161" s="35">
        <f t="shared" si="174"/>
        <v>0.13572848714334895</v>
      </c>
      <c r="DZ161" s="56"/>
      <c r="EA161" s="56"/>
      <c r="EC161" s="2" t="e" vm="163">
        <v>#VALUE!</v>
      </c>
      <c r="EE161" s="10" cm="1">
        <f t="array" aca="1" ref="EE161" ca="1">_FV(EC161,"Ações em circulação",TRUE)</f>
        <v>364542500</v>
      </c>
      <c r="EF161" s="18">
        <f>VLOOKUP(BM161,Fundamentus!A:U,5,FALSE)</f>
        <v>0.72099999999999997</v>
      </c>
      <c r="EG161" s="2">
        <f t="shared" ca="1" si="165"/>
        <v>2426912621.3592234</v>
      </c>
      <c r="EH161" s="17">
        <v>177164621.35922331</v>
      </c>
      <c r="EI161" s="17">
        <f t="shared" ca="1" si="166"/>
        <v>177164621.35922331</v>
      </c>
      <c r="EK161" s="16">
        <f t="shared" ca="1" si="153"/>
        <v>0</v>
      </c>
      <c r="EL161" s="32" t="str">
        <f>IF(VLOOKUP(BM161,Fundamentus!A:U,3,FALSE)&lt;15,"Bom",IF(VLOOKUP(BM161,Fundamentus!A:U,3,FALSE)&gt;15,"Ruim","n/a"))</f>
        <v>Bom</v>
      </c>
      <c r="EM161" s="28" t="str">
        <f>IF(VLOOKUP(BM161,Fundamentus!A:U,4,FALSE)&lt;1,"Baixo",IF(VLOOKUP(BM161,Fundamentus!A:U,4,FALSE)&lt;1.5,"Moderado",IF(VLOOKUP(BM161,Fundamentus!A:U,4,FALSE)&gt;1.5,"Alto","n/a")))</f>
        <v>Moderado</v>
      </c>
      <c r="EN161" s="17" t="str">
        <f>IF(VLOOKUP(BM161,Fundamentus!A:U,8,FALSE)&lt;0,"Risco elevado",IF(VLOOKUP(BM161,Fundamentus!A:U,8,FALSE)&lt;1,"Saudável",IF(VLOOKUP(BM161,Fundamentus!A:U,8,FALSE)&lt;3,"Estável",IF(VLOOKUP(BM161,Fundamentus!A:U,8,FALSE)&gt;3,"Alerta","n/a"))))</f>
        <v>Alerta</v>
      </c>
      <c r="EO161" s="28" t="str">
        <f t="shared" si="167"/>
        <v>Ruim</v>
      </c>
      <c r="EP161" s="17" t="str">
        <f>IF(VLOOKUP(BM161,Fundamentus!A:U,12,FALSE)&lt;2,"Subvalorizada",IF(VLOOKUP(BM161,Fundamentus!A:U,12,FALSE)&lt;6,"Muita barata",IF(VLOOKUP(BM161,Fundamentus!A:U,12,FALSE)&lt;6,"Barata",IF(VLOOKUP(BM161,Fundamentus!A:U,12,FALSE)&lt;8,"Atrativa",IF(VLOOKUP(BM161,Fundamentus!A:U,12,FALSE)&gt;8,"Supervalorizada","n/a")))))</f>
        <v>Muita barata</v>
      </c>
      <c r="ER161" s="17" t="str">
        <f>IF(VLOOKUP(BM161,Fundamentus!A:U,17,FALSE)&lt;0.1,"Fraco retorno",IF(VLOOKUP(BM161,Fundamentus!A:U,17,FALSE)&gt;0.1,"Bom retorno","n/a"))</f>
        <v>Bom retorno</v>
      </c>
      <c r="ES161" s="17" t="str">
        <f>IF(VLOOKUP(BM161,Fundamentus!A:U,16,FALSE)&lt;0.1,"Ineficiente",IF(VLOOKUP(BM161,Fundamentus!A:U,16,FALSE)&gt;0.1,"Eficiente","n/a"))</f>
        <v>Eficiente</v>
      </c>
      <c r="ET161" s="33" t="str">
        <f>IF(VLOOKUP(BM161,Fundamentus!A:U,16,FALSE)&lt;0.1,"Oper. Ineficiente",IF(VLOOKUP(BM161,Fundamentus!A:U,16,FALSE)&gt;0.1,"Oper.Eficiente","n/a"))</f>
        <v>Oper.Eficiente</v>
      </c>
      <c r="EU161" s="34">
        <f>VLOOKUP(BM161,Fundamentus!A:U,14,FALSE)</f>
        <v>7.2999999999999995E-2</v>
      </c>
      <c r="EV161" s="17" t="str">
        <f>IF(VLOOKUP(BM161,Fundamentus!A:U,21,FALSE)&lt;0,"Negativo",IF(VLOOKUP(BM161,Fundamentus!A:U,21,FALSE)&lt;0.05,"Fraco",IF(VLOOKUP(BM161,Fundamentus!A:U,21,FALSE)&lt;0.1,"Bom",IF(VLOOKUP(BM161,Fundamentus!A:U,21,FALSE)&gt;0.1,"Muito bom","n/a"))))</f>
        <v>Muito bom</v>
      </c>
      <c r="EX161" s="29" t="str">
        <f>IF(VLOOKUP(BM161,Fundamentus!A:U,15,FALSE)&gt;1,"Bom",IF(VLOOKUP(BM161,Fundamentus!A:U,15,FALSE)&lt;1,"Ruim","n/a"))</f>
        <v>Bom</v>
      </c>
      <c r="EY161" s="17" t="str">
        <f>IF(VLOOKUP(BM161,Fundamentus!A:U,20,FALSE)&lt;0.5,"Baixa",IF(VLOOKUP(BM161,Fundamentus!A:U,20,FALSE)&lt;1,"Moderada",IF(VLOOKUP(BM161,Fundamentus!A:U,20,FALSE)&lt;2,"Alerta",IF(VLOOKUP(BM161,Fundamentus!A:U,20,FALSE)&gt;2,"Alta","n/a"))))</f>
        <v>Moderada</v>
      </c>
      <c r="EZ161" s="10"/>
    </row>
    <row r="162" spans="1:156" s="2" customFormat="1" ht="11.25" x14ac:dyDescent="0.2">
      <c r="A162" s="4">
        <v>24.6</v>
      </c>
      <c r="B162" s="4">
        <v>23.44</v>
      </c>
      <c r="C162" s="4">
        <v>24.08</v>
      </c>
      <c r="D162" s="4">
        <v>22.76</v>
      </c>
      <c r="E162" s="4">
        <v>22.68</v>
      </c>
      <c r="F162" s="4">
        <v>22.88</v>
      </c>
      <c r="G162" s="4">
        <v>22.46</v>
      </c>
      <c r="H162" s="4">
        <v>22.2</v>
      </c>
      <c r="I162" s="4">
        <v>22.54</v>
      </c>
      <c r="J162" s="4">
        <v>24.17</v>
      </c>
      <c r="K162" s="4">
        <v>24.69</v>
      </c>
      <c r="L162" s="4">
        <v>24.63</v>
      </c>
      <c r="M162" s="4">
        <v>24.17</v>
      </c>
      <c r="N162" s="4">
        <v>24.8</v>
      </c>
      <c r="O162" s="4">
        <v>26.3</v>
      </c>
      <c r="P162" s="4">
        <v>26.72</v>
      </c>
      <c r="Q162" s="4">
        <v>26.69</v>
      </c>
      <c r="R162" s="4">
        <v>25.64</v>
      </c>
      <c r="S162" s="4">
        <v>25.95</v>
      </c>
      <c r="T162" s="4">
        <v>27.52</v>
      </c>
      <c r="U162" s="4">
        <v>26.34</v>
      </c>
      <c r="V162" s="4">
        <v>25.54</v>
      </c>
      <c r="W162" s="4">
        <v>25.79</v>
      </c>
      <c r="X162" s="4">
        <v>25.6</v>
      </c>
      <c r="Y162" s="4">
        <v>25.34</v>
      </c>
      <c r="Z162" s="4">
        <v>25.1</v>
      </c>
      <c r="AA162" s="4">
        <v>25.04</v>
      </c>
      <c r="AB162" s="4">
        <v>24.68</v>
      </c>
      <c r="AC162" s="4">
        <v>25.65</v>
      </c>
      <c r="AD162" s="4">
        <v>25.72</v>
      </c>
      <c r="AE162" s="4">
        <v>23.88</v>
      </c>
      <c r="AF162" s="4">
        <v>23.22</v>
      </c>
      <c r="AG162" s="4">
        <v>22.5</v>
      </c>
      <c r="AH162" s="4">
        <v>21.37</v>
      </c>
      <c r="AI162" s="4">
        <v>21.19</v>
      </c>
      <c r="AJ162" s="4">
        <v>20.28</v>
      </c>
      <c r="AK162" s="4">
        <v>20.239999999999998</v>
      </c>
      <c r="AL162" s="4">
        <v>20.53</v>
      </c>
      <c r="AM162" s="4">
        <v>20.81</v>
      </c>
      <c r="AN162" s="4">
        <v>22.4</v>
      </c>
      <c r="AO162" s="4">
        <v>22.07</v>
      </c>
      <c r="AP162" s="4">
        <v>22.85</v>
      </c>
      <c r="AQ162" s="4">
        <v>22.19</v>
      </c>
      <c r="AR162" s="4">
        <v>20.95</v>
      </c>
      <c r="AS162" s="4">
        <v>21.59</v>
      </c>
      <c r="AT162" s="4">
        <v>22.91</v>
      </c>
      <c r="AU162" s="4">
        <v>23.14</v>
      </c>
      <c r="AV162" s="4">
        <v>22.76</v>
      </c>
      <c r="AW162" s="4">
        <v>22.78</v>
      </c>
      <c r="AX162" s="4">
        <v>23.8</v>
      </c>
      <c r="AY162" s="12">
        <v>24.14</v>
      </c>
      <c r="AZ162" s="12">
        <v>25.5</v>
      </c>
      <c r="BA162" s="12">
        <v>25.74</v>
      </c>
      <c r="BB162" s="15">
        <v>26.02</v>
      </c>
      <c r="BC162" s="52">
        <v>25.84</v>
      </c>
      <c r="BD162" s="52">
        <v>25.9</v>
      </c>
      <c r="BE162" s="52">
        <v>26.88</v>
      </c>
      <c r="BF162" s="52">
        <v>26.26</v>
      </c>
      <c r="BG162" s="67">
        <v>25.7</v>
      </c>
      <c r="BH162" s="52">
        <v>25.85</v>
      </c>
      <c r="BI162" s="52">
        <v>27.04</v>
      </c>
      <c r="BJ162" s="52">
        <v>27.17</v>
      </c>
      <c r="BK162" s="52">
        <v>25.9</v>
      </c>
      <c r="BL162" s="52" cm="1">
        <f t="array" aca="1" ref="BL162" ca="1">_FV(EC162,"Preço")</f>
        <v>25.9</v>
      </c>
      <c r="BM162" s="69" t="s">
        <v>158</v>
      </c>
      <c r="BN162" s="36" cm="1">
        <f t="array" aca="1" ref="BN162" ca="1">_FV(EC162,"Média de volume",TRUE)</f>
        <v>2837740</v>
      </c>
      <c r="BO162" s="36">
        <v>2502800</v>
      </c>
      <c r="BP162" s="36" cm="1">
        <f t="array" aca="1" ref="BP162" ca="1">_FV(EC162,"Volume")</f>
        <v>2502800</v>
      </c>
      <c r="BQ162" s="24" cm="1">
        <f t="array" aca="1" ref="BQ162" ca="1">_FV(EC162,"Beta")</f>
        <v>1.0319</v>
      </c>
      <c r="BR162" s="71" cm="1">
        <f t="array" aca="1" ref="BR162" ca="1">_FV(EC162,"Variação (%)",TRUE)</f>
        <v>-1.3332999999999999E-2</v>
      </c>
      <c r="BT162" s="17" cm="1">
        <f t="array" aca="1" ref="BT162" ca="1">_FV(EC162,"Baixo")</f>
        <v>25.86</v>
      </c>
      <c r="BU162" s="17" cm="1">
        <f t="array" aca="1" ref="BU162" ca="1">_FV(EC162,"Alto")</f>
        <v>26.31</v>
      </c>
      <c r="BV162" s="24"/>
      <c r="BW162" s="63">
        <f ca="1">SQRT(22.5*(BL162/VLOOKUP(BM162,Fundamentus!A:U,3,FALSE))*(BL162/VLOOKUP(BM162,Fundamentus!A:U,4,FALSE)))</f>
        <v>25.51507440199088</v>
      </c>
      <c r="BY162" s="62">
        <f t="shared" ca="1" si="168"/>
        <v>0</v>
      </c>
      <c r="BZ162" s="8"/>
      <c r="CA162" s="61">
        <f t="shared" si="169"/>
        <v>20.239999999999998</v>
      </c>
      <c r="CB162" s="61">
        <f t="shared" si="170"/>
        <v>27.52</v>
      </c>
      <c r="CC162" s="61">
        <f t="shared" si="171"/>
        <v>24.176507936507942</v>
      </c>
      <c r="CD162" s="14"/>
      <c r="CE162" s="35">
        <f t="shared" si="154"/>
        <v>25.341760781938579</v>
      </c>
      <c r="CF162" s="15">
        <f t="shared" si="172"/>
        <v>26.503999999999991</v>
      </c>
      <c r="CG162" s="35">
        <f t="shared" si="155"/>
        <v>27.666239218061403</v>
      </c>
      <c r="CI162" s="14"/>
      <c r="CJ162" s="17">
        <f t="shared" si="156"/>
        <v>15.15333333333334</v>
      </c>
      <c r="CK162" s="17">
        <f t="shared" si="157"/>
        <v>17.696666666666669</v>
      </c>
      <c r="CL162" s="17">
        <f t="shared" si="158"/>
        <v>22.433333333333341</v>
      </c>
      <c r="CM162" s="38">
        <f t="shared" si="173"/>
        <v>24.97666666666667</v>
      </c>
      <c r="CN162" s="17">
        <f t="shared" si="159"/>
        <v>29.713333333333342</v>
      </c>
      <c r="CO162" s="17">
        <f t="shared" si="160"/>
        <v>32.256666666666675</v>
      </c>
      <c r="CP162" s="17">
        <f t="shared" si="161"/>
        <v>36.993333333333339</v>
      </c>
      <c r="CQ162" s="2" cm="1">
        <f t="array" aca="1" ref="CQ162" ca="1">MAX(_xlfn._xlws.FILTER(CJ162:CP162,CJ162:CP162&lt;BL162))</f>
        <v>24.97666666666667</v>
      </c>
      <c r="CR162" s="2" cm="1">
        <f t="array" aca="1" ref="CR162" ca="1">MIN(_xlfn._xlws.FILTER($CJ162:$CP162,$CJ162:$CP162&gt;BL162))</f>
        <v>29.713333333333342</v>
      </c>
      <c r="CS162" s="16">
        <f t="shared" ca="1" si="175"/>
        <v>0.18964366742292826</v>
      </c>
      <c r="CT162" s="20">
        <f t="shared" ca="1" si="176"/>
        <v>-9.4821833711464132E-2</v>
      </c>
      <c r="CU162" s="20">
        <f t="shared" ca="1" si="177"/>
        <v>-6.321455580764275E-2</v>
      </c>
      <c r="CV162" s="20">
        <f t="shared" ca="1" si="178"/>
        <v>-3.7928733484585656E-2</v>
      </c>
      <c r="CW162" s="20">
        <f t="shared" ca="1" si="179"/>
        <v>-2.1071518602547586E-2</v>
      </c>
      <c r="CX162" s="20">
        <f t="shared" ca="1" si="180"/>
        <v>-1.1155509848407545E-2</v>
      </c>
      <c r="CY162" s="20">
        <f t="shared" ca="1" si="181"/>
        <v>-5.7467778006947958E-3</v>
      </c>
      <c r="CZ162" s="20">
        <f t="shared" ca="1" si="182"/>
        <v>-2.9175948834296657E-3</v>
      </c>
      <c r="DA162" s="21">
        <f t="shared" ca="1" si="183"/>
        <v>2.9175948834296657E-3</v>
      </c>
      <c r="DB162" s="21">
        <f t="shared" ca="1" si="184"/>
        <v>5.7467778006947958E-3</v>
      </c>
      <c r="DC162" s="21">
        <f t="shared" ca="1" si="185"/>
        <v>1.1155509848407545E-2</v>
      </c>
      <c r="DD162" s="21">
        <f t="shared" ca="1" si="186"/>
        <v>2.1071518602547586E-2</v>
      </c>
      <c r="DE162" s="21">
        <f t="shared" ca="1" si="187"/>
        <v>3.7928733484585656E-2</v>
      </c>
      <c r="DF162" s="21">
        <f t="shared" ca="1" si="188"/>
        <v>6.321455580764275E-2</v>
      </c>
      <c r="DG162" s="21">
        <f t="shared" ca="1" si="189"/>
        <v>9.4821833711464132E-2</v>
      </c>
      <c r="DI162" s="16" cm="1">
        <f t="array" aca="1" ref="DI162" ca="1">MAX(_xlfn._xlws.FILTER(CT162:DG162,CT162:DG162&lt;BR162))</f>
        <v>-2.1071518602547586E-2</v>
      </c>
      <c r="DJ162" s="16" cm="1">
        <f t="array" aca="1" ref="DJ162" ca="1">MIN(_xlfn._xlws.FILTER(CT162:DG162,CT162:DG162&gt;BR162))</f>
        <v>-1.1155509848407545E-2</v>
      </c>
      <c r="DK162" s="2" cm="1">
        <f t="array" aca="1" ref="DK162" ca="1">_FV(EC162,"Fechamento anterior",TRUE)</f>
        <v>26.25</v>
      </c>
      <c r="DL162" s="28">
        <f t="shared" ca="1" si="162"/>
        <v>0.78037297677691242</v>
      </c>
      <c r="DM162" s="15">
        <f t="shared" ca="1" si="190"/>
        <v>25.696872636683125</v>
      </c>
      <c r="DN162" s="15">
        <f t="shared" ca="1" si="191"/>
        <v>25.957167866479303</v>
      </c>
      <c r="DO162" s="9"/>
      <c r="DP162" s="9"/>
      <c r="DQ162" s="9"/>
      <c r="DR162" s="89">
        <v>4.9496109197601753E-3</v>
      </c>
      <c r="DS162" s="89">
        <v>9.0681158569244965E-3</v>
      </c>
      <c r="DT162" s="89">
        <v>5.408732047712749E-3</v>
      </c>
      <c r="DU162" s="89">
        <v>9.9160087541400408E-3</v>
      </c>
      <c r="DV162" s="89">
        <f t="shared" ca="1" si="163"/>
        <v>9.9160087541400408E-3</v>
      </c>
      <c r="DW162" s="72">
        <f t="shared" ca="1" si="164"/>
        <v>-0.51968647298569914</v>
      </c>
      <c r="DX162" s="37"/>
      <c r="DY162" s="35">
        <f t="shared" si="174"/>
        <v>0.58111960903070581</v>
      </c>
      <c r="DZ162" s="56"/>
      <c r="EA162" s="56"/>
      <c r="EC162" s="2" t="e" vm="164">
        <v>#VALUE!</v>
      </c>
      <c r="EE162" s="10" cm="1">
        <f t="array" aca="1" ref="EE162" ca="1">_FV(EC162,"Ações em circulação",TRUE)</f>
        <v>513163700</v>
      </c>
      <c r="EF162" s="18">
        <f>VLOOKUP(BM162,Fundamentus!A:U,5,FALSE)</f>
        <v>5.1779999999999999</v>
      </c>
      <c r="EG162" s="2">
        <f t="shared" ca="1" si="165"/>
        <v>2566809546.1568174</v>
      </c>
      <c r="EH162" s="17">
        <v>1318313382.9061413</v>
      </c>
      <c r="EI162" s="17">
        <f t="shared" ca="1" si="166"/>
        <v>1318313382.9061413</v>
      </c>
      <c r="EK162" s="16">
        <f t="shared" ca="1" si="153"/>
        <v>0</v>
      </c>
      <c r="EL162" s="32" t="str">
        <f>IF(VLOOKUP(BM162,Fundamentus!A:U,3,FALSE)&lt;15,"Bom",IF(VLOOKUP(BM162,Fundamentus!A:U,3,FALSE)&gt;15,"Ruim","n/a"))</f>
        <v>Bom</v>
      </c>
      <c r="EM162" s="28" t="str">
        <f>IF(VLOOKUP(BM162,Fundamentus!A:U,4,FALSE)&lt;1,"Baixo",IF(VLOOKUP(BM162,Fundamentus!A:U,4,FALSE)&lt;1.5,"Moderado",IF(VLOOKUP(BM162,Fundamentus!A:U,4,FALSE)&gt;1.5,"Alto","n/a")))</f>
        <v>Alto</v>
      </c>
      <c r="EN162" s="17" t="str">
        <f>IF(VLOOKUP(BM162,Fundamentus!A:U,8,FALSE)&lt;0,"Risco elevado",IF(VLOOKUP(BM162,Fundamentus!A:U,8,FALSE)&lt;1,"Saudável",IF(VLOOKUP(BM162,Fundamentus!A:U,8,FALSE)&lt;3,"Estável",IF(VLOOKUP(BM162,Fundamentus!A:U,8,FALSE)&gt;3,"Alerta","n/a"))))</f>
        <v>Alerta</v>
      </c>
      <c r="EO162" s="28" t="str">
        <f t="shared" si="167"/>
        <v>Bom</v>
      </c>
      <c r="EP162" s="17" t="str">
        <f>IF(VLOOKUP(BM162,Fundamentus!A:U,12,FALSE)&lt;2,"Subvalorizada",IF(VLOOKUP(BM162,Fundamentus!A:U,12,FALSE)&lt;6,"Muita barata",IF(VLOOKUP(BM162,Fundamentus!A:U,12,FALSE)&lt;6,"Barata",IF(VLOOKUP(BM162,Fundamentus!A:U,12,FALSE)&lt;8,"Atrativa",IF(VLOOKUP(BM162,Fundamentus!A:U,12,FALSE)&gt;8,"Supervalorizada","n/a")))))</f>
        <v>Supervalorizada</v>
      </c>
      <c r="ER162" s="17" t="str">
        <f>IF(VLOOKUP(BM162,Fundamentus!A:U,17,FALSE)&lt;0.1,"Fraco retorno",IF(VLOOKUP(BM162,Fundamentus!A:U,17,FALSE)&gt;0.1,"Bom retorno","n/a"))</f>
        <v>Bom retorno</v>
      </c>
      <c r="ES162" s="17" t="str">
        <f>IF(VLOOKUP(BM162,Fundamentus!A:U,16,FALSE)&lt;0.1,"Ineficiente",IF(VLOOKUP(BM162,Fundamentus!A:U,16,FALSE)&gt;0.1,"Eficiente","n/a"))</f>
        <v>Eficiente</v>
      </c>
      <c r="ET162" s="33" t="str">
        <f>IF(VLOOKUP(BM162,Fundamentus!A:U,16,FALSE)&lt;0.1,"Oper. Ineficiente",IF(VLOOKUP(BM162,Fundamentus!A:U,16,FALSE)&gt;0.1,"Oper.Eficiente","n/a"))</f>
        <v>Oper.Eficiente</v>
      </c>
      <c r="EU162" s="34">
        <f>VLOOKUP(BM162,Fundamentus!A:U,14,FALSE)</f>
        <v>0.51359999999999995</v>
      </c>
      <c r="EV162" s="17" t="str">
        <f>IF(VLOOKUP(BM162,Fundamentus!A:U,21,FALSE)&lt;0,"Negativo",IF(VLOOKUP(BM162,Fundamentus!A:U,21,FALSE)&lt;0.05,"Fraco",IF(VLOOKUP(BM162,Fundamentus!A:U,21,FALSE)&lt;0.1,"Bom",IF(VLOOKUP(BM162,Fundamentus!A:U,21,FALSE)&gt;0.1,"Muito bom","n/a"))))</f>
        <v>Muito bom</v>
      </c>
      <c r="EX162" s="29" t="str">
        <f>IF(VLOOKUP(BM162,Fundamentus!A:U,15,FALSE)&gt;1,"Bom",IF(VLOOKUP(BM162,Fundamentus!A:U,15,FALSE)&lt;1,"Ruim","n/a"))</f>
        <v>Bom</v>
      </c>
      <c r="EY162" s="17" t="str">
        <f>IF(VLOOKUP(BM162,Fundamentus!A:U,20,FALSE)&lt;0.5,"Baixa",IF(VLOOKUP(BM162,Fundamentus!A:U,20,FALSE)&lt;1,"Moderada",IF(VLOOKUP(BM162,Fundamentus!A:U,20,FALSE)&lt;2,"Alerta",IF(VLOOKUP(BM162,Fundamentus!A:U,20,FALSE)&gt;2,"Alta","n/a"))))</f>
        <v>Moderada</v>
      </c>
      <c r="EZ162" s="10"/>
    </row>
    <row r="163" spans="1:156" s="2" customFormat="1" ht="11.25" x14ac:dyDescent="0.2">
      <c r="A163" s="4">
        <v>11.68</v>
      </c>
      <c r="B163" s="4">
        <v>11.81</v>
      </c>
      <c r="C163" s="4">
        <v>11.75</v>
      </c>
      <c r="D163" s="4">
        <v>12.13</v>
      </c>
      <c r="E163" s="4">
        <v>11.94</v>
      </c>
      <c r="F163" s="4">
        <v>12.1</v>
      </c>
      <c r="G163" s="4">
        <v>12.18</v>
      </c>
      <c r="H163" s="4">
        <v>12.27</v>
      </c>
      <c r="I163" s="4">
        <v>12.37</v>
      </c>
      <c r="J163" s="4">
        <v>12.35</v>
      </c>
      <c r="K163" s="4">
        <v>12.48</v>
      </c>
      <c r="L163" s="4">
        <v>12.35</v>
      </c>
      <c r="M163" s="4">
        <v>12.05</v>
      </c>
      <c r="N163" s="4">
        <v>11.79</v>
      </c>
      <c r="O163" s="4">
        <v>11.54</v>
      </c>
      <c r="P163" s="4">
        <v>11.53</v>
      </c>
      <c r="Q163" s="4">
        <v>11.59</v>
      </c>
      <c r="R163" s="4">
        <v>11.39</v>
      </c>
      <c r="S163" s="4">
        <v>11.35</v>
      </c>
      <c r="T163" s="4">
        <v>11.11</v>
      </c>
      <c r="U163" s="4">
        <v>10.6</v>
      </c>
      <c r="V163" s="4">
        <v>10.44</v>
      </c>
      <c r="W163" s="4">
        <v>10.34</v>
      </c>
      <c r="X163" s="4">
        <v>10.06</v>
      </c>
      <c r="Y163" s="4">
        <v>10.1</v>
      </c>
      <c r="Z163" s="4">
        <v>10.38</v>
      </c>
      <c r="AA163" s="4">
        <v>10.220000000000001</v>
      </c>
      <c r="AB163" s="4">
        <v>10.16</v>
      </c>
      <c r="AC163" s="4">
        <v>9.98</v>
      </c>
      <c r="AD163" s="4">
        <v>9.94</v>
      </c>
      <c r="AE163" s="4">
        <v>9.86</v>
      </c>
      <c r="AF163" s="4">
        <v>9.4600000000000009</v>
      </c>
      <c r="AG163" s="4">
        <v>9.11</v>
      </c>
      <c r="AH163" s="4">
        <v>8.77</v>
      </c>
      <c r="AI163" s="4">
        <v>8.6999999999999993</v>
      </c>
      <c r="AJ163" s="4">
        <v>8.42</v>
      </c>
      <c r="AK163" s="4">
        <v>7.88</v>
      </c>
      <c r="AL163" s="4">
        <v>7.78</v>
      </c>
      <c r="AM163" s="4">
        <v>7.6</v>
      </c>
      <c r="AN163" s="4">
        <v>8.11</v>
      </c>
      <c r="AO163" s="4">
        <v>8.14</v>
      </c>
      <c r="AP163" s="4">
        <v>8.4700000000000006</v>
      </c>
      <c r="AQ163" s="4">
        <v>8.82</v>
      </c>
      <c r="AR163" s="4">
        <v>7.79</v>
      </c>
      <c r="AS163" s="4">
        <v>8.0500000000000007</v>
      </c>
      <c r="AT163" s="4">
        <v>7.59</v>
      </c>
      <c r="AU163" s="4">
        <v>7.8849999999999998</v>
      </c>
      <c r="AV163" s="4">
        <v>7.78</v>
      </c>
      <c r="AW163" s="4">
        <v>7.65</v>
      </c>
      <c r="AX163" s="4">
        <v>7.87</v>
      </c>
      <c r="AY163" s="12">
        <v>7.9</v>
      </c>
      <c r="AZ163" s="12">
        <v>8.8699999999999992</v>
      </c>
      <c r="BA163" s="12">
        <v>8.93</v>
      </c>
      <c r="BB163" s="15">
        <v>9.31</v>
      </c>
      <c r="BC163" s="52">
        <v>9.4499999999999993</v>
      </c>
      <c r="BD163" s="52">
        <v>9.48</v>
      </c>
      <c r="BE163" s="52">
        <v>9.8800000000000008</v>
      </c>
      <c r="BF163" s="52">
        <v>9.9</v>
      </c>
      <c r="BG163" s="67">
        <v>10.02</v>
      </c>
      <c r="BH163" s="52">
        <v>9.8000000000000007</v>
      </c>
      <c r="BI163" s="52">
        <v>9.98</v>
      </c>
      <c r="BJ163" s="52">
        <v>9.8000000000000007</v>
      </c>
      <c r="BK163" s="52">
        <v>9.11</v>
      </c>
      <c r="BL163" s="52" cm="1">
        <f t="array" aca="1" ref="BL163" ca="1">_FV(EC163,"Preço")</f>
        <v>9.11</v>
      </c>
      <c r="BM163" s="69" t="s">
        <v>87</v>
      </c>
      <c r="BN163" s="36" cm="1">
        <f t="array" aca="1" ref="BN163" ca="1">_FV(EC163,"Média de volume",TRUE)</f>
        <v>3459690</v>
      </c>
      <c r="BO163" s="36">
        <v>5602300</v>
      </c>
      <c r="BP163" s="36" cm="1">
        <f t="array" aca="1" ref="BP163" ca="1">_FV(EC163,"Volume")</f>
        <v>5602300</v>
      </c>
      <c r="BQ163" s="24" cm="1">
        <f t="array" aca="1" ref="BQ163" ca="1">_FV(EC163,"Beta")</f>
        <v>0.58079999999999998</v>
      </c>
      <c r="BR163" s="71" cm="1">
        <f t="array" aca="1" ref="BR163" ca="1">_FV(EC163,"Variação (%)",TRUE)</f>
        <v>-2.4624999999999998E-2</v>
      </c>
      <c r="BT163" s="17" cm="1">
        <f t="array" aca="1" ref="BT163" ca="1">_FV(EC163,"Baixo")</f>
        <v>9.0399999999999991</v>
      </c>
      <c r="BU163" s="17" cm="1">
        <f t="array" aca="1" ref="BU163" ca="1">_FV(EC163,"Alto")</f>
        <v>9.4</v>
      </c>
      <c r="BV163" s="24"/>
      <c r="BW163" s="63">
        <f ca="1">SQRT(22.5*(BL163/VLOOKUP(BM163,Fundamentus!A:U,3,FALSE))*(BL163/VLOOKUP(BM163,Fundamentus!A:U,4,FALSE)))</f>
        <v>1.1428814840034156</v>
      </c>
      <c r="BY163" s="62">
        <f t="shared" ca="1" si="168"/>
        <v>0</v>
      </c>
      <c r="BZ163" s="8"/>
      <c r="CA163" s="61">
        <f t="shared" si="169"/>
        <v>7.59</v>
      </c>
      <c r="CB163" s="61">
        <f t="shared" si="170"/>
        <v>12.48</v>
      </c>
      <c r="CC163" s="61">
        <f t="shared" si="171"/>
        <v>9.9705555555555527</v>
      </c>
      <c r="CD163" s="14"/>
      <c r="CE163" s="35">
        <f t="shared" si="154"/>
        <v>8.9485081993826174</v>
      </c>
      <c r="CF163" s="15">
        <f t="shared" si="172"/>
        <v>9.5599999999999454</v>
      </c>
      <c r="CG163" s="35">
        <f t="shared" si="155"/>
        <v>10.171491800617273</v>
      </c>
      <c r="CI163" s="14"/>
      <c r="CJ163" s="17">
        <f t="shared" si="156"/>
        <v>2.543333333333333</v>
      </c>
      <c r="CK163" s="17">
        <f t="shared" si="157"/>
        <v>5.0666666666666664</v>
      </c>
      <c r="CL163" s="17">
        <f t="shared" si="158"/>
        <v>7.4333333333333336</v>
      </c>
      <c r="CM163" s="38">
        <f t="shared" si="173"/>
        <v>9.956666666666667</v>
      </c>
      <c r="CN163" s="17">
        <f t="shared" si="159"/>
        <v>12.323333333333334</v>
      </c>
      <c r="CO163" s="17">
        <f t="shared" si="160"/>
        <v>14.846666666666668</v>
      </c>
      <c r="CP163" s="17">
        <f t="shared" si="161"/>
        <v>17.213333333333335</v>
      </c>
      <c r="CQ163" s="2" cm="1">
        <f t="array" aca="1" ref="CQ163" ca="1">MAX(_xlfn._xlws.FILTER(CJ163:CP163,CJ163:CP163&lt;BL163))</f>
        <v>7.4333333333333336</v>
      </c>
      <c r="CR163" s="2" cm="1">
        <f t="array" aca="1" ref="CR163" ca="1">MIN(_xlfn._xlws.FILTER($CJ163:$CP163,$CJ163:$CP163&gt;BL163))</f>
        <v>9.956666666666667</v>
      </c>
      <c r="CS163" s="16">
        <f t="shared" ca="1" si="175"/>
        <v>0.33946188340807182</v>
      </c>
      <c r="CT163" s="20">
        <f t="shared" ca="1" si="176"/>
        <v>-0.16973094170403591</v>
      </c>
      <c r="CU163" s="20">
        <f t="shared" ca="1" si="177"/>
        <v>-0.11315396113602394</v>
      </c>
      <c r="CV163" s="20">
        <f t="shared" ca="1" si="178"/>
        <v>-6.7892376681614366E-2</v>
      </c>
      <c r="CW163" s="20">
        <f t="shared" ca="1" si="179"/>
        <v>-3.7717987045341315E-2</v>
      </c>
      <c r="CX163" s="20">
        <f t="shared" ca="1" si="180"/>
        <v>-1.9968346082827753E-2</v>
      </c>
      <c r="CY163" s="20">
        <f t="shared" ca="1" si="181"/>
        <v>-1.0286723739638541E-2</v>
      </c>
      <c r="CZ163" s="20">
        <f t="shared" ca="1" si="182"/>
        <v>-5.2224905139703357E-3</v>
      </c>
      <c r="DA163" s="21">
        <f t="shared" ca="1" si="183"/>
        <v>5.2224905139703357E-3</v>
      </c>
      <c r="DB163" s="21">
        <f t="shared" ca="1" si="184"/>
        <v>1.0286723739638541E-2</v>
      </c>
      <c r="DC163" s="21">
        <f t="shared" ca="1" si="185"/>
        <v>1.9968346082827753E-2</v>
      </c>
      <c r="DD163" s="21">
        <f t="shared" ca="1" si="186"/>
        <v>3.7717987045341315E-2</v>
      </c>
      <c r="DE163" s="21">
        <f t="shared" ca="1" si="187"/>
        <v>6.7892376681614366E-2</v>
      </c>
      <c r="DF163" s="21">
        <f t="shared" ca="1" si="188"/>
        <v>0.11315396113602394</v>
      </c>
      <c r="DG163" s="21">
        <f t="shared" ca="1" si="189"/>
        <v>0.16973094170403591</v>
      </c>
      <c r="DI163" s="16" cm="1">
        <f t="array" aca="1" ref="DI163" ca="1">MAX(_xlfn._xlws.FILTER(CT163:DG163,CT163:DG163&lt;BR163))</f>
        <v>-3.7717987045341315E-2</v>
      </c>
      <c r="DJ163" s="16" cm="1">
        <f t="array" aca="1" ref="DJ163" ca="1">MIN(_xlfn._xlws.FILTER(CT163:DG163,CT163:DG163&gt;BR163))</f>
        <v>-1.9968346082827753E-2</v>
      </c>
      <c r="DK163" s="2" cm="1">
        <f t="array" aca="1" ref="DK163" ca="1">_FV(EC163,"Fechamento anterior",TRUE)</f>
        <v>9.34</v>
      </c>
      <c r="DL163" s="28">
        <f t="shared" ca="1" si="162"/>
        <v>0.73763291364820061</v>
      </c>
      <c r="DM163" s="15">
        <f t="shared" ca="1" si="190"/>
        <v>8.9877140009965117</v>
      </c>
      <c r="DN163" s="15">
        <f t="shared" ca="1" si="191"/>
        <v>9.1534956475863893</v>
      </c>
      <c r="DO163" s="9"/>
      <c r="DP163" s="9"/>
      <c r="DQ163" s="9"/>
      <c r="DR163" s="89">
        <v>6.7182242163055681E-3</v>
      </c>
      <c r="DS163" s="89">
        <v>9.2183671261740555E-3</v>
      </c>
      <c r="DT163" s="89">
        <v>5.0642332256682051E-3</v>
      </c>
      <c r="DU163" s="89">
        <v>1.7749640962513562E-2</v>
      </c>
      <c r="DV163" s="89">
        <f t="shared" ca="1" si="163"/>
        <v>1.7749640962513562E-2</v>
      </c>
      <c r="DW163" s="72">
        <f t="shared" ca="1" si="164"/>
        <v>-0.73590520681659366</v>
      </c>
      <c r="DX163" s="37"/>
      <c r="DY163" s="35">
        <f t="shared" si="174"/>
        <v>0.30574590030866433</v>
      </c>
      <c r="DZ163" s="56"/>
      <c r="EA163" s="56"/>
      <c r="EC163" s="2" t="e" vm="165">
        <v>#VALUE!</v>
      </c>
      <c r="EE163" s="10" cm="1">
        <f t="array" aca="1" ref="EE163" ca="1">_FV(EC163,"Ações em circulação",TRUE)</f>
        <v>1050378000</v>
      </c>
      <c r="EF163" s="18">
        <f>VLOOKUP(BM163,Fundamentus!A:U,5,FALSE)</f>
        <v>1.095</v>
      </c>
      <c r="EG163" s="2">
        <f t="shared" ca="1" si="165"/>
        <v>8738761260.2739735</v>
      </c>
      <c r="EH163" s="17">
        <v>65540709.452054799</v>
      </c>
      <c r="EI163" s="17">
        <f t="shared" ca="1" si="166"/>
        <v>65540709.452054799</v>
      </c>
      <c r="EK163" s="16">
        <f t="shared" ca="1" si="153"/>
        <v>0</v>
      </c>
      <c r="EL163" s="32" t="str">
        <f>IF(VLOOKUP(BM163,Fundamentus!A:U,3,FALSE)&lt;15,"Bom",IF(VLOOKUP(BM163,Fundamentus!A:U,3,FALSE)&gt;15,"Ruim","n/a"))</f>
        <v>Ruim</v>
      </c>
      <c r="EM163" s="28" t="str">
        <f>IF(VLOOKUP(BM163,Fundamentus!A:U,4,FALSE)&lt;1,"Baixo",IF(VLOOKUP(BM163,Fundamentus!A:U,4,FALSE)&lt;1.5,"Moderado",IF(VLOOKUP(BM163,Fundamentus!A:U,4,FALSE)&gt;1.5,"Alto","n/a")))</f>
        <v>Baixo</v>
      </c>
      <c r="EN163" s="17" t="str">
        <f>IF(VLOOKUP(BM163,Fundamentus!A:U,8,FALSE)&lt;0,"Risco elevado",IF(VLOOKUP(BM163,Fundamentus!A:U,8,FALSE)&lt;1,"Saudável",IF(VLOOKUP(BM163,Fundamentus!A:U,8,FALSE)&lt;3,"Estável",IF(VLOOKUP(BM163,Fundamentus!A:U,8,FALSE)&gt;3,"Alerta","n/a"))))</f>
        <v>Alerta</v>
      </c>
      <c r="EO163" s="28" t="str">
        <f t="shared" si="167"/>
        <v>Bom</v>
      </c>
      <c r="EP163" s="17" t="str">
        <f>IF(VLOOKUP(BM163,Fundamentus!A:U,12,FALSE)&lt;2,"Subvalorizada",IF(VLOOKUP(BM163,Fundamentus!A:U,12,FALSE)&lt;6,"Muita barata",IF(VLOOKUP(BM163,Fundamentus!A:U,12,FALSE)&lt;6,"Barata",IF(VLOOKUP(BM163,Fundamentus!A:U,12,FALSE)&lt;8,"Atrativa",IF(VLOOKUP(BM163,Fundamentus!A:U,12,FALSE)&gt;8,"Supervalorizada","n/a")))))</f>
        <v>Supervalorizada</v>
      </c>
      <c r="ER163" s="17" t="str">
        <f>IF(VLOOKUP(BM163,Fundamentus!A:U,17,FALSE)&lt;0.1,"Fraco retorno",IF(VLOOKUP(BM163,Fundamentus!A:U,17,FALSE)&gt;0.1,"Bom retorno","n/a"))</f>
        <v>Fraco retorno</v>
      </c>
      <c r="ES163" s="17" t="str">
        <f>IF(VLOOKUP(BM163,Fundamentus!A:U,16,FALSE)&lt;0.1,"Ineficiente",IF(VLOOKUP(BM163,Fundamentus!A:U,16,FALSE)&gt;0.1,"Eficiente","n/a"))</f>
        <v>Ineficiente</v>
      </c>
      <c r="ET163" s="33" t="str">
        <f>IF(VLOOKUP(BM163,Fundamentus!A:U,16,FALSE)&lt;0.1,"Oper. Ineficiente",IF(VLOOKUP(BM163,Fundamentus!A:U,16,FALSE)&gt;0.1,"Oper.Eficiente","n/a"))</f>
        <v>Oper. Ineficiente</v>
      </c>
      <c r="EU163" s="34">
        <f>VLOOKUP(BM163,Fundamentus!A:U,14,FALSE)</f>
        <v>7.4999999999999997E-3</v>
      </c>
      <c r="EV163" s="17" t="str">
        <f>IF(VLOOKUP(BM163,Fundamentus!A:U,21,FALSE)&lt;0,"Negativo",IF(VLOOKUP(BM163,Fundamentus!A:U,21,FALSE)&lt;0.05,"Fraco",IF(VLOOKUP(BM163,Fundamentus!A:U,21,FALSE)&lt;0.1,"Bom",IF(VLOOKUP(BM163,Fundamentus!A:U,21,FALSE)&gt;0.1,"Muito bom","n/a"))))</f>
        <v>Muito bom</v>
      </c>
      <c r="EX163" s="29" t="str">
        <f>IF(VLOOKUP(BM163,Fundamentus!A:U,15,FALSE)&gt;1,"Bom",IF(VLOOKUP(BM163,Fundamentus!A:U,15,FALSE)&lt;1,"Ruim","n/a"))</f>
        <v>Bom</v>
      </c>
      <c r="EY163" s="17" t="str">
        <f>IF(VLOOKUP(BM163,Fundamentus!A:U,20,FALSE)&lt;0.5,"Baixa",IF(VLOOKUP(BM163,Fundamentus!A:U,20,FALSE)&lt;1,"Moderada",IF(VLOOKUP(BM163,Fundamentus!A:U,20,FALSE)&lt;2,"Alerta",IF(VLOOKUP(BM163,Fundamentus!A:U,20,FALSE)&gt;2,"Alta","n/a"))))</f>
        <v>Alerta</v>
      </c>
      <c r="EZ163" s="10"/>
    </row>
    <row r="164" spans="1:156" s="2" customFormat="1" ht="11.25" x14ac:dyDescent="0.2">
      <c r="A164" s="4">
        <v>26.61</v>
      </c>
      <c r="B164" s="4">
        <v>25.21</v>
      </c>
      <c r="C164" s="4">
        <v>24.31</v>
      </c>
      <c r="D164" s="4">
        <v>23.48</v>
      </c>
      <c r="E164" s="4">
        <v>23.15</v>
      </c>
      <c r="F164" s="4">
        <v>22.62</v>
      </c>
      <c r="G164" s="4">
        <v>21.47</v>
      </c>
      <c r="H164" s="4">
        <v>22.02</v>
      </c>
      <c r="I164" s="4">
        <v>23.68</v>
      </c>
      <c r="J164" s="4">
        <v>24.92</v>
      </c>
      <c r="K164" s="4">
        <v>25.57</v>
      </c>
      <c r="L164" s="4">
        <v>25.64</v>
      </c>
      <c r="M164" s="4">
        <v>25.13</v>
      </c>
      <c r="N164" s="4">
        <v>24.79</v>
      </c>
      <c r="O164" s="4">
        <v>25.38</v>
      </c>
      <c r="P164" s="4">
        <v>27.05</v>
      </c>
      <c r="Q164" s="4">
        <v>27.58</v>
      </c>
      <c r="R164" s="4">
        <v>27.36</v>
      </c>
      <c r="S164" s="4">
        <v>27.03</v>
      </c>
      <c r="T164" s="4">
        <v>27.24</v>
      </c>
      <c r="U164" s="4">
        <v>26.34</v>
      </c>
      <c r="V164" s="4">
        <v>25.38</v>
      </c>
      <c r="W164" s="4">
        <v>25.3</v>
      </c>
      <c r="X164" s="4">
        <v>24.3</v>
      </c>
      <c r="Y164" s="4">
        <v>23.13</v>
      </c>
      <c r="Z164" s="4">
        <v>23.25</v>
      </c>
      <c r="AA164" s="4">
        <v>23.11</v>
      </c>
      <c r="AB164" s="4">
        <v>23.67</v>
      </c>
      <c r="AC164" s="4">
        <v>22.31</v>
      </c>
      <c r="AD164" s="4">
        <v>21.71</v>
      </c>
      <c r="AE164" s="4">
        <v>20.84</v>
      </c>
      <c r="AF164" s="4">
        <v>22.4</v>
      </c>
      <c r="AG164" s="4">
        <v>23.07</v>
      </c>
      <c r="AH164" s="4">
        <v>22.69</v>
      </c>
      <c r="AI164" s="4">
        <v>23.2</v>
      </c>
      <c r="AJ164" s="4">
        <v>21.36</v>
      </c>
      <c r="AK164" s="4">
        <v>21.28</v>
      </c>
      <c r="AL164" s="4">
        <v>21.74</v>
      </c>
      <c r="AM164" s="4">
        <v>21.69</v>
      </c>
      <c r="AN164" s="4">
        <v>21.38</v>
      </c>
      <c r="AO164" s="4">
        <v>20.65</v>
      </c>
      <c r="AP164" s="4">
        <v>21.32</v>
      </c>
      <c r="AQ164" s="4">
        <v>20.88</v>
      </c>
      <c r="AR164" s="4">
        <v>20.6</v>
      </c>
      <c r="AS164" s="4">
        <v>21.31</v>
      </c>
      <c r="AT164" s="4">
        <v>21.33</v>
      </c>
      <c r="AU164" s="4">
        <v>19.094999999999999</v>
      </c>
      <c r="AV164" s="4">
        <v>18</v>
      </c>
      <c r="AW164" s="4">
        <v>17.5</v>
      </c>
      <c r="AX164" s="4">
        <v>18.940000000000001</v>
      </c>
      <c r="AY164" s="12">
        <v>23.53</v>
      </c>
      <c r="AZ164" s="12">
        <v>22.75</v>
      </c>
      <c r="BA164" s="12">
        <v>21.45</v>
      </c>
      <c r="BB164" s="15">
        <v>19.82</v>
      </c>
      <c r="BC164" s="52">
        <v>18.7</v>
      </c>
      <c r="BD164" s="52">
        <v>18.93</v>
      </c>
      <c r="BE164" s="52">
        <v>19.25</v>
      </c>
      <c r="BF164" s="52">
        <v>18.48</v>
      </c>
      <c r="BG164" s="67">
        <v>19.079999999999998</v>
      </c>
      <c r="BH164" s="52">
        <v>18.190000000000001</v>
      </c>
      <c r="BI164" s="52">
        <v>18.2</v>
      </c>
      <c r="BJ164" s="52">
        <v>18.07</v>
      </c>
      <c r="BK164" s="52">
        <v>17.7</v>
      </c>
      <c r="BL164" s="52" cm="1">
        <f t="array" aca="1" ref="BL164" ca="1">_FV(EC164,"Preço")</f>
        <v>17.7</v>
      </c>
      <c r="BM164" s="69" t="s">
        <v>160</v>
      </c>
      <c r="BN164" s="36" cm="1">
        <f t="array" aca="1" ref="BN164" ca="1">_FV(EC164,"Média de volume",TRUE)</f>
        <v>379550</v>
      </c>
      <c r="BO164" s="36">
        <v>1107300</v>
      </c>
      <c r="BP164" s="36" cm="1">
        <f t="array" aca="1" ref="BP164" ca="1">_FV(EC164,"Volume")</f>
        <v>1107300</v>
      </c>
      <c r="BQ164" s="24" cm="1">
        <f t="array" aca="1" ref="BQ164" ca="1">_FV(EC164,"Beta")</f>
        <v>0.5484</v>
      </c>
      <c r="BR164" s="71" cm="1">
        <f t="array" aca="1" ref="BR164" ca="1">_FV(EC164,"Variação (%)",TRUE)</f>
        <v>-3.9087999999999998E-2</v>
      </c>
      <c r="BT164" s="17" cm="1">
        <f t="array" aca="1" ref="BT164" ca="1">_FV(EC164,"Baixo")</f>
        <v>17.649999999999999</v>
      </c>
      <c r="BU164" s="17" cm="1">
        <f t="array" aca="1" ref="BU164" ca="1">_FV(EC164,"Alto")</f>
        <v>18.68</v>
      </c>
      <c r="BV164" s="24"/>
      <c r="BW164" s="63" t="e">
        <f ca="1">SQRT(22.5*(BL164/VLOOKUP(BM164,Fundamentus!A:U,3,FALSE))*(BL164/VLOOKUP(BM164,Fundamentus!A:U,4,FALSE)))</f>
        <v>#NUM!</v>
      </c>
      <c r="BY164" s="62">
        <f t="shared" ca="1" si="168"/>
        <v>0</v>
      </c>
      <c r="BZ164" s="8"/>
      <c r="CA164" s="61">
        <f t="shared" si="169"/>
        <v>17.5</v>
      </c>
      <c r="CB164" s="61">
        <f t="shared" si="170"/>
        <v>27.58</v>
      </c>
      <c r="CC164" s="61">
        <f t="shared" si="171"/>
        <v>22.415317460317464</v>
      </c>
      <c r="CD164" s="14"/>
      <c r="CE164" s="35">
        <f t="shared" si="154"/>
        <v>17.11354333312968</v>
      </c>
      <c r="CF164" s="15">
        <f t="shared" si="172"/>
        <v>17.959999999999809</v>
      </c>
      <c r="CG164" s="35">
        <f t="shared" si="155"/>
        <v>18.806456666869938</v>
      </c>
      <c r="CI164" s="14"/>
      <c r="CJ164" s="17">
        <f t="shared" si="156"/>
        <v>4.4400000000000048</v>
      </c>
      <c r="CK164" s="17">
        <f t="shared" si="157"/>
        <v>10.970000000000002</v>
      </c>
      <c r="CL164" s="17">
        <f t="shared" si="158"/>
        <v>14.520000000000003</v>
      </c>
      <c r="CM164" s="38">
        <f t="shared" si="173"/>
        <v>21.05</v>
      </c>
      <c r="CN164" s="17">
        <f t="shared" si="159"/>
        <v>24.6</v>
      </c>
      <c r="CO164" s="17">
        <f t="shared" si="160"/>
        <v>31.13</v>
      </c>
      <c r="CP164" s="17">
        <f t="shared" si="161"/>
        <v>34.68</v>
      </c>
      <c r="CQ164" s="2" cm="1">
        <f t="array" aca="1" ref="CQ164" ca="1">MAX(_xlfn._xlws.FILTER(CJ164:CP164,CJ164:CP164&lt;BL164))</f>
        <v>14.520000000000003</v>
      </c>
      <c r="CR164" s="2" cm="1">
        <f t="array" aca="1" ref="CR164" ca="1">MIN(_xlfn._xlws.FILTER($CJ164:$CP164,$CJ164:$CP164&gt;BL164))</f>
        <v>21.05</v>
      </c>
      <c r="CS164" s="16">
        <f t="shared" ca="1" si="175"/>
        <v>0.44972451790633583</v>
      </c>
      <c r="CT164" s="20">
        <f t="shared" ca="1" si="176"/>
        <v>-0.22486225895316792</v>
      </c>
      <c r="CU164" s="20">
        <f t="shared" ca="1" si="177"/>
        <v>-0.14990817263544529</v>
      </c>
      <c r="CV164" s="20">
        <f t="shared" ca="1" si="178"/>
        <v>-8.9944903581267166E-2</v>
      </c>
      <c r="CW164" s="20">
        <f t="shared" ca="1" si="179"/>
        <v>-4.9969390878481762E-2</v>
      </c>
      <c r="CX164" s="20">
        <f t="shared" ca="1" si="180"/>
        <v>-2.6454383406255048E-2</v>
      </c>
      <c r="CY164" s="20">
        <f t="shared" ca="1" si="181"/>
        <v>-1.3628015694131388E-2</v>
      </c>
      <c r="CZ164" s="20">
        <f t="shared" ca="1" si="182"/>
        <v>-6.9188387370205514E-3</v>
      </c>
      <c r="DA164" s="21">
        <f t="shared" ca="1" si="183"/>
        <v>6.9188387370205514E-3</v>
      </c>
      <c r="DB164" s="21">
        <f t="shared" ca="1" si="184"/>
        <v>1.3628015694131388E-2</v>
      </c>
      <c r="DC164" s="21">
        <f t="shared" ca="1" si="185"/>
        <v>2.6454383406255048E-2</v>
      </c>
      <c r="DD164" s="21">
        <f t="shared" ca="1" si="186"/>
        <v>4.9969390878481762E-2</v>
      </c>
      <c r="DE164" s="21">
        <f t="shared" ca="1" si="187"/>
        <v>8.9944903581267166E-2</v>
      </c>
      <c r="DF164" s="21">
        <f t="shared" ca="1" si="188"/>
        <v>0.14990817263544529</v>
      </c>
      <c r="DG164" s="21">
        <f t="shared" ca="1" si="189"/>
        <v>0.22486225895316792</v>
      </c>
      <c r="DI164" s="16" cm="1">
        <f t="array" aca="1" ref="DI164" ca="1">MAX(_xlfn._xlws.FILTER(CT164:DG164,CT164:DG164&lt;BR164))</f>
        <v>-4.9969390878481762E-2</v>
      </c>
      <c r="DJ164" s="16" cm="1">
        <f t="array" aca="1" ref="DJ164" ca="1">MIN(_xlfn._xlws.FILTER(CT164:DG164,CT164:DG164&gt;BR164))</f>
        <v>-2.6454383406255048E-2</v>
      </c>
      <c r="DK164" s="2" cm="1">
        <f t="array" aca="1" ref="DK164" ca="1">_FV(EC164,"Fechamento anterior",TRUE)</f>
        <v>18.420000000000002</v>
      </c>
      <c r="DL164" s="28">
        <f t="shared" ca="1" si="162"/>
        <v>0.46274461144005447</v>
      </c>
      <c r="DM164" s="15">
        <f t="shared" ca="1" si="190"/>
        <v>17.499563820018366</v>
      </c>
      <c r="DN164" s="15">
        <f t="shared" ca="1" si="191"/>
        <v>17.932710257656783</v>
      </c>
      <c r="DO164" s="9"/>
      <c r="DP164" s="9"/>
      <c r="DQ164" s="9"/>
      <c r="DR164" s="89">
        <v>6.9067402239899201E-3</v>
      </c>
      <c r="DS164" s="89">
        <v>6.0812669851722035E-3</v>
      </c>
      <c r="DT164" s="89">
        <v>1.3837677474041103E-2</v>
      </c>
      <c r="DU164" s="89">
        <v>2.3515007472226714E-2</v>
      </c>
      <c r="DV164" s="89">
        <f t="shared" ca="1" si="163"/>
        <v>2.3515007472226714E-2</v>
      </c>
      <c r="DW164" s="72">
        <f t="shared" ca="1" si="164"/>
        <v>-0.30716280014804503</v>
      </c>
      <c r="DX164" s="37"/>
      <c r="DY164" s="35">
        <f t="shared" si="174"/>
        <v>0.42322833343506422</v>
      </c>
      <c r="DZ164" s="56"/>
      <c r="EA164" s="56"/>
      <c r="EC164" s="2" t="e" vm="166">
        <v>#VALUE!</v>
      </c>
      <c r="EE164" s="10" cm="1">
        <f t="array" aca="1" ref="EE164" ca="1">_FV(EC164,"Ações em circulação",TRUE)</f>
        <v>144177500</v>
      </c>
      <c r="EF164" s="18">
        <f>VLOOKUP(BM164,Fundamentus!A:U,5,FALSE)</f>
        <v>0.26100000000000001</v>
      </c>
      <c r="EG164" s="2">
        <f t="shared" ca="1" si="165"/>
        <v>9777554597.701149</v>
      </c>
      <c r="EH164" s="17">
        <v>-41065729.310344823</v>
      </c>
      <c r="EI164" s="17">
        <f t="shared" ca="1" si="166"/>
        <v>-41065729.310344823</v>
      </c>
      <c r="EK164" s="16">
        <f t="shared" ca="1" si="153"/>
        <v>0</v>
      </c>
      <c r="EL164" s="32" t="str">
        <f>IF(VLOOKUP(BM164,Fundamentus!A:U,3,FALSE)&lt;15,"Bom",IF(VLOOKUP(BM164,Fundamentus!A:U,3,FALSE)&gt;15,"Ruim","n/a"))</f>
        <v>Bom</v>
      </c>
      <c r="EM164" s="28" t="str">
        <f>IF(VLOOKUP(BM164,Fundamentus!A:U,4,FALSE)&lt;1,"Baixo",IF(VLOOKUP(BM164,Fundamentus!A:U,4,FALSE)&lt;1.5,"Moderado",IF(VLOOKUP(BM164,Fundamentus!A:U,4,FALSE)&gt;1.5,"Alto","n/a")))</f>
        <v>Baixo</v>
      </c>
      <c r="EN164" s="17" t="str">
        <f>IF(VLOOKUP(BM164,Fundamentus!A:U,8,FALSE)&lt;0,"Risco elevado",IF(VLOOKUP(BM164,Fundamentus!A:U,8,FALSE)&lt;1,"Saudável",IF(VLOOKUP(BM164,Fundamentus!A:U,8,FALSE)&lt;3,"Estável",IF(VLOOKUP(BM164,Fundamentus!A:U,8,FALSE)&gt;3,"Alerta","n/a"))))</f>
        <v>Saudável</v>
      </c>
      <c r="EO164" s="28" t="str">
        <f t="shared" si="167"/>
        <v>Ruim</v>
      </c>
      <c r="EP164" s="17" t="str">
        <f>IF(VLOOKUP(BM164,Fundamentus!A:U,12,FALSE)&lt;2,"Subvalorizada",IF(VLOOKUP(BM164,Fundamentus!A:U,12,FALSE)&lt;6,"Muita barata",IF(VLOOKUP(BM164,Fundamentus!A:U,12,FALSE)&lt;6,"Barata",IF(VLOOKUP(BM164,Fundamentus!A:U,12,FALSE)&lt;8,"Atrativa",IF(VLOOKUP(BM164,Fundamentus!A:U,12,FALSE)&gt;8,"Supervalorizada","n/a")))))</f>
        <v>Muita barata</v>
      </c>
      <c r="ER164" s="17" t="str">
        <f>IF(VLOOKUP(BM164,Fundamentus!A:U,17,FALSE)&lt;0.1,"Fraco retorno",IF(VLOOKUP(BM164,Fundamentus!A:U,17,FALSE)&gt;0.1,"Bom retorno","n/a"))</f>
        <v>Fraco retorno</v>
      </c>
      <c r="ES164" s="17" t="str">
        <f>IF(VLOOKUP(BM164,Fundamentus!A:U,16,FALSE)&lt;0.1,"Ineficiente",IF(VLOOKUP(BM164,Fundamentus!A:U,16,FALSE)&gt;0.1,"Eficiente","n/a"))</f>
        <v>Eficiente</v>
      </c>
      <c r="ET164" s="33" t="str">
        <f>IF(VLOOKUP(BM164,Fundamentus!A:U,16,FALSE)&lt;0.1,"Oper. Ineficiente",IF(VLOOKUP(BM164,Fundamentus!A:U,16,FALSE)&gt;0.1,"Oper.Eficiente","n/a"))</f>
        <v>Oper.Eficiente</v>
      </c>
      <c r="EU164" s="34">
        <f>VLOOKUP(BM164,Fundamentus!A:U,14,FALSE)</f>
        <v>-4.1999999999999997E-3</v>
      </c>
      <c r="EV164" s="17" t="str">
        <f>IF(VLOOKUP(BM164,Fundamentus!A:U,21,FALSE)&lt;0,"Negativo",IF(VLOOKUP(BM164,Fundamentus!A:U,21,FALSE)&lt;0.05,"Fraco",IF(VLOOKUP(BM164,Fundamentus!A:U,21,FALSE)&lt;0.1,"Bom",IF(VLOOKUP(BM164,Fundamentus!A:U,21,FALSE)&gt;0.1,"Muito bom","n/a"))))</f>
        <v>Muito bom</v>
      </c>
      <c r="EX164" s="29" t="str">
        <f>IF(VLOOKUP(BM164,Fundamentus!A:U,15,FALSE)&gt;1,"Bom",IF(VLOOKUP(BM164,Fundamentus!A:U,15,FALSE)&lt;1,"Ruim","n/a"))</f>
        <v>Bom</v>
      </c>
      <c r="EY164" s="17" t="str">
        <f>IF(VLOOKUP(BM164,Fundamentus!A:U,20,FALSE)&lt;0.5,"Baixa",IF(VLOOKUP(BM164,Fundamentus!A:U,20,FALSE)&lt;1,"Moderada",IF(VLOOKUP(BM164,Fundamentus!A:U,20,FALSE)&lt;2,"Alerta",IF(VLOOKUP(BM164,Fundamentus!A:U,20,FALSE)&gt;2,"Alta","n/a"))))</f>
        <v>Alerta</v>
      </c>
      <c r="EZ164" s="10"/>
    </row>
    <row r="165" spans="1:156" s="2" customFormat="1" ht="11.25" x14ac:dyDescent="0.2">
      <c r="A165" s="4">
        <v>25.7</v>
      </c>
      <c r="B165" s="4">
        <v>24.99</v>
      </c>
      <c r="C165" s="4">
        <v>23.99</v>
      </c>
      <c r="D165" s="4">
        <v>24.02</v>
      </c>
      <c r="E165" s="4">
        <v>25.9</v>
      </c>
      <c r="F165" s="4">
        <v>23.39</v>
      </c>
      <c r="G165" s="4">
        <v>22.54</v>
      </c>
      <c r="H165" s="4">
        <v>22.44</v>
      </c>
      <c r="I165" s="4">
        <v>23.83</v>
      </c>
      <c r="J165" s="4">
        <v>23.2</v>
      </c>
      <c r="K165" s="4">
        <v>22.72</v>
      </c>
      <c r="L165" s="4">
        <v>22.12</v>
      </c>
      <c r="M165" s="4">
        <v>23.5</v>
      </c>
      <c r="N165" s="4">
        <v>24.08</v>
      </c>
      <c r="O165" s="4">
        <v>23.39</v>
      </c>
      <c r="P165" s="4">
        <v>23.89</v>
      </c>
      <c r="Q165" s="4">
        <v>23</v>
      </c>
      <c r="R165" s="4">
        <v>24.8</v>
      </c>
      <c r="S165" s="4">
        <v>23.11</v>
      </c>
      <c r="T165" s="4">
        <v>23.2</v>
      </c>
      <c r="U165" s="4">
        <v>22.5</v>
      </c>
      <c r="V165" s="4">
        <v>22.58</v>
      </c>
      <c r="W165" s="4">
        <v>23.49</v>
      </c>
      <c r="X165" s="4">
        <v>21.95</v>
      </c>
      <c r="Y165" s="4">
        <v>21.2</v>
      </c>
      <c r="Z165" s="4">
        <v>20.98</v>
      </c>
      <c r="AA165" s="4">
        <v>22.02</v>
      </c>
      <c r="AB165" s="4">
        <v>20.8</v>
      </c>
      <c r="AC165" s="4">
        <v>20.21</v>
      </c>
      <c r="AD165" s="4">
        <v>20.6</v>
      </c>
      <c r="AE165" s="4">
        <v>20.59</v>
      </c>
      <c r="AF165" s="4">
        <v>19.27</v>
      </c>
      <c r="AG165" s="4">
        <v>19.11</v>
      </c>
      <c r="AH165" s="4">
        <v>19.59</v>
      </c>
      <c r="AI165" s="4">
        <v>20.84</v>
      </c>
      <c r="AJ165" s="4">
        <v>16.989999999999998</v>
      </c>
      <c r="AK165" s="4">
        <v>16.170000000000002</v>
      </c>
      <c r="AL165" s="4">
        <v>15.83</v>
      </c>
      <c r="AM165" s="4">
        <v>16.579999999999998</v>
      </c>
      <c r="AN165" s="4">
        <v>18.86</v>
      </c>
      <c r="AO165" s="4">
        <v>17.77</v>
      </c>
      <c r="AP165" s="4">
        <v>17.059999999999999</v>
      </c>
      <c r="AQ165" s="4">
        <v>17.45</v>
      </c>
      <c r="AR165" s="4">
        <v>18.77</v>
      </c>
      <c r="AS165" s="4">
        <v>17.7</v>
      </c>
      <c r="AT165" s="4">
        <v>18.010000000000002</v>
      </c>
      <c r="AU165" s="4">
        <v>17.89</v>
      </c>
      <c r="AV165" s="4">
        <v>18.399999999999999</v>
      </c>
      <c r="AW165" s="4">
        <v>16.760000000000002</v>
      </c>
      <c r="AX165" s="4">
        <v>16.41</v>
      </c>
      <c r="AY165" s="12">
        <v>16.7</v>
      </c>
      <c r="AZ165" s="12">
        <v>17.73</v>
      </c>
      <c r="BA165" s="12">
        <v>18.47</v>
      </c>
      <c r="BB165" s="15">
        <v>17.899999999999999</v>
      </c>
      <c r="BC165" s="52">
        <v>17.600000000000001</v>
      </c>
      <c r="BD165" s="52">
        <v>17.2</v>
      </c>
      <c r="BE165" s="52">
        <v>17</v>
      </c>
      <c r="BF165" s="52">
        <v>16.739999999999998</v>
      </c>
      <c r="BG165" s="67">
        <v>16.989999999999998</v>
      </c>
      <c r="BH165" s="52">
        <v>16.93</v>
      </c>
      <c r="BI165" s="52">
        <v>17.04</v>
      </c>
      <c r="BJ165" s="52">
        <v>17.14</v>
      </c>
      <c r="BK165" s="52">
        <v>16.61</v>
      </c>
      <c r="BL165" s="52" cm="1">
        <f t="array" aca="1" ref="BL165" ca="1">_FV(EC165,"Preço")</f>
        <v>16.61</v>
      </c>
      <c r="BM165" s="69" t="s">
        <v>161</v>
      </c>
      <c r="BN165" s="36" cm="1">
        <f t="array" aca="1" ref="BN165" ca="1">_FV(EC165,"Média de volume",TRUE)</f>
        <v>32800</v>
      </c>
      <c r="BO165" s="36">
        <v>9600</v>
      </c>
      <c r="BP165" s="36" cm="1">
        <f t="array" aca="1" ref="BP165" ca="1">_FV(EC165,"Volume")</f>
        <v>9600</v>
      </c>
      <c r="BQ165" s="24" cm="1">
        <f t="array" aca="1" ref="BQ165" ca="1">_FV(EC165,"Beta")</f>
        <v>0.96850000000000003</v>
      </c>
      <c r="BR165" s="71" cm="1">
        <f t="array" aca="1" ref="BR165" ca="1">_FV(EC165,"Variação (%)",TRUE)</f>
        <v>-1.5411999999999999E-2</v>
      </c>
      <c r="BT165" s="17" cm="1">
        <f t="array" aca="1" ref="BT165" ca="1">_FV(EC165,"Baixo")</f>
        <v>16.61</v>
      </c>
      <c r="BU165" s="17" cm="1">
        <f t="array" aca="1" ref="BU165" ca="1">_FV(EC165,"Alto")</f>
        <v>16.850000000000001</v>
      </c>
      <c r="BV165" s="24"/>
      <c r="BW165" s="63" t="e">
        <f ca="1">SQRT(22.5*(BL165/VLOOKUP(BM165,Fundamentus!A:U,3,FALSE))*(BL165/VLOOKUP(BM165,Fundamentus!A:U,4,FALSE)))</f>
        <v>#NUM!</v>
      </c>
      <c r="BY165" s="62">
        <f t="shared" ca="1" si="168"/>
        <v>0</v>
      </c>
      <c r="BZ165" s="8"/>
      <c r="CA165" s="61">
        <f t="shared" si="169"/>
        <v>15.83</v>
      </c>
      <c r="CB165" s="61">
        <f t="shared" si="170"/>
        <v>25.9</v>
      </c>
      <c r="CC165" s="61">
        <f t="shared" si="171"/>
        <v>20.226031746031754</v>
      </c>
      <c r="CD165" s="14"/>
      <c r="CE165" s="35">
        <f t="shared" si="154"/>
        <v>16.52599830717535</v>
      </c>
      <c r="CF165" s="15">
        <f t="shared" si="172"/>
        <v>16.886999999999944</v>
      </c>
      <c r="CG165" s="35">
        <f t="shared" si="155"/>
        <v>17.248001692824538</v>
      </c>
      <c r="CI165" s="14"/>
      <c r="CJ165" s="17">
        <f t="shared" si="156"/>
        <v>3.2766666666666655</v>
      </c>
      <c r="CK165" s="17">
        <f t="shared" si="157"/>
        <v>9.5533333333333328</v>
      </c>
      <c r="CL165" s="17">
        <f t="shared" si="158"/>
        <v>13.346666666666664</v>
      </c>
      <c r="CM165" s="38">
        <f t="shared" si="173"/>
        <v>19.623333333333331</v>
      </c>
      <c r="CN165" s="17">
        <f t="shared" si="159"/>
        <v>23.416666666666664</v>
      </c>
      <c r="CO165" s="17">
        <f t="shared" si="160"/>
        <v>29.693333333333328</v>
      </c>
      <c r="CP165" s="17">
        <f t="shared" si="161"/>
        <v>33.486666666666665</v>
      </c>
      <c r="CQ165" s="2" cm="1">
        <f t="array" aca="1" ref="CQ165" ca="1">MAX(_xlfn._xlws.FILTER(CJ165:CP165,CJ165:CP165&lt;BL165))</f>
        <v>13.346666666666664</v>
      </c>
      <c r="CR165" s="2" cm="1">
        <f t="array" aca="1" ref="CR165" ca="1">MIN(_xlfn._xlws.FILTER($CJ165:$CP165,$CJ165:$CP165&gt;BL165))</f>
        <v>19.623333333333331</v>
      </c>
      <c r="CS165" s="16">
        <f t="shared" ca="1" si="175"/>
        <v>0.47027972027972043</v>
      </c>
      <c r="CT165" s="20">
        <f t="shared" ca="1" si="176"/>
        <v>-0.23513986013986021</v>
      </c>
      <c r="CU165" s="20">
        <f t="shared" ca="1" si="177"/>
        <v>-0.15675990675990681</v>
      </c>
      <c r="CV165" s="20">
        <f t="shared" ca="1" si="178"/>
        <v>-9.4055944055944085E-2</v>
      </c>
      <c r="CW165" s="20">
        <f t="shared" ca="1" si="179"/>
        <v>-5.225330225330227E-2</v>
      </c>
      <c r="CX165" s="20">
        <f t="shared" ca="1" si="180"/>
        <v>-2.7663512957630615E-2</v>
      </c>
      <c r="CY165" s="20">
        <f t="shared" ca="1" si="181"/>
        <v>-1.4250900614536982E-2</v>
      </c>
      <c r="CZ165" s="20">
        <f t="shared" ca="1" si="182"/>
        <v>-7.2350726196880061E-3</v>
      </c>
      <c r="DA165" s="21">
        <f t="shared" ca="1" si="183"/>
        <v>7.2350726196880061E-3</v>
      </c>
      <c r="DB165" s="21">
        <f t="shared" ca="1" si="184"/>
        <v>1.4250900614536982E-2</v>
      </c>
      <c r="DC165" s="21">
        <f t="shared" ca="1" si="185"/>
        <v>2.7663512957630615E-2</v>
      </c>
      <c r="DD165" s="21">
        <f t="shared" ca="1" si="186"/>
        <v>5.225330225330227E-2</v>
      </c>
      <c r="DE165" s="21">
        <f t="shared" ca="1" si="187"/>
        <v>9.4055944055944085E-2</v>
      </c>
      <c r="DF165" s="21">
        <f t="shared" ca="1" si="188"/>
        <v>0.15675990675990681</v>
      </c>
      <c r="DG165" s="21">
        <f t="shared" ca="1" si="189"/>
        <v>0.23513986013986021</v>
      </c>
      <c r="DI165" s="16" cm="1">
        <f t="array" aca="1" ref="DI165" ca="1">MAX(_xlfn._xlws.FILTER(CT165:DG165,CT165:DG165&lt;BR165))</f>
        <v>-2.7663512957630615E-2</v>
      </c>
      <c r="DJ165" s="16" cm="1">
        <f t="array" aca="1" ref="DJ165" ca="1">MIN(_xlfn._xlws.FILTER(CT165:DG165,CT165:DG165&gt;BR165))</f>
        <v>-1.4250900614536982E-2</v>
      </c>
      <c r="DK165" s="2" cm="1">
        <f t="array" aca="1" ref="DK165" ca="1">_FV(EC165,"Fechamento anterior",TRUE)</f>
        <v>16.87</v>
      </c>
      <c r="DL165" s="28">
        <f t="shared" ca="1" si="162"/>
        <v>0.91343421594832819</v>
      </c>
      <c r="DM165" s="15">
        <f t="shared" ca="1" si="190"/>
        <v>16.403316536404773</v>
      </c>
      <c r="DN165" s="15">
        <f t="shared" ca="1" si="191"/>
        <v>16.629587306632761</v>
      </c>
      <c r="DO165" s="9"/>
      <c r="DP165" s="9"/>
      <c r="DQ165" s="9"/>
      <c r="DR165" s="89">
        <v>1.6484106973091384E-2</v>
      </c>
      <c r="DS165" s="89">
        <v>1.4695520885757414E-2</v>
      </c>
      <c r="DT165" s="89">
        <v>7.0158279948489763E-3</v>
      </c>
      <c r="DU165" s="89">
        <v>1.3412612343093632E-2</v>
      </c>
      <c r="DV165" s="89">
        <f t="shared" ca="1" si="163"/>
        <v>1.3412612343093632E-2</v>
      </c>
      <c r="DW165" s="72">
        <f t="shared" ca="1" si="164"/>
        <v>-0.76730942127336454</v>
      </c>
      <c r="DX165" s="37"/>
      <c r="DY165" s="35">
        <f t="shared" si="174"/>
        <v>0.18050084641229708</v>
      </c>
      <c r="DZ165" s="56"/>
      <c r="EA165" s="56"/>
      <c r="EC165" s="2" t="e" vm="167">
        <v>#VALUE!</v>
      </c>
      <c r="EE165" s="10" cm="1">
        <f t="array" aca="1" ref="EE165" ca="1">_FV(EC165,"Ações em circulação",TRUE)</f>
        <v>57737320</v>
      </c>
      <c r="EF165" s="18">
        <f>VLOOKUP(BM165,Fundamentus!A:U,5,FALSE)</f>
        <v>2.1360000000000001</v>
      </c>
      <c r="EG165" s="2">
        <f t="shared" ca="1" si="165"/>
        <v>448977942.50936323</v>
      </c>
      <c r="EH165" s="17">
        <v>-27701939.052827712</v>
      </c>
      <c r="EI165" s="17">
        <f t="shared" ca="1" si="166"/>
        <v>-27701939.052827712</v>
      </c>
      <c r="EK165" s="16">
        <f t="shared" ca="1" si="153"/>
        <v>0</v>
      </c>
      <c r="EL165" s="32" t="str">
        <f>IF(VLOOKUP(BM165,Fundamentus!A:U,3,FALSE)&lt;15,"Bom",IF(VLOOKUP(BM165,Fundamentus!A:U,3,FALSE)&gt;15,"Ruim","n/a"))</f>
        <v>Bom</v>
      </c>
      <c r="EM165" s="28" t="str">
        <f>IF(VLOOKUP(BM165,Fundamentus!A:U,4,FALSE)&lt;1,"Baixo",IF(VLOOKUP(BM165,Fundamentus!A:U,4,FALSE)&lt;1.5,"Moderado",IF(VLOOKUP(BM165,Fundamentus!A:U,4,FALSE)&gt;1.5,"Alto","n/a")))</f>
        <v>Baixo</v>
      </c>
      <c r="EN165" s="17" t="str">
        <f>IF(VLOOKUP(BM165,Fundamentus!A:U,8,FALSE)&lt;0,"Risco elevado",IF(VLOOKUP(BM165,Fundamentus!A:U,8,FALSE)&lt;1,"Saudável",IF(VLOOKUP(BM165,Fundamentus!A:U,8,FALSE)&lt;3,"Estável",IF(VLOOKUP(BM165,Fundamentus!A:U,8,FALSE)&gt;3,"Alerta","n/a"))))</f>
        <v>Estável</v>
      </c>
      <c r="EO165" s="28" t="str">
        <f t="shared" si="167"/>
        <v>Bom</v>
      </c>
      <c r="EP165" s="17" t="str">
        <f>IF(VLOOKUP(BM165,Fundamentus!A:U,12,FALSE)&lt;2,"Subvalorizada",IF(VLOOKUP(BM165,Fundamentus!A:U,12,FALSE)&lt;6,"Muita barata",IF(VLOOKUP(BM165,Fundamentus!A:U,12,FALSE)&lt;6,"Barata",IF(VLOOKUP(BM165,Fundamentus!A:U,12,FALSE)&lt;8,"Atrativa",IF(VLOOKUP(BM165,Fundamentus!A:U,12,FALSE)&gt;8,"Supervalorizada","n/a")))))</f>
        <v>Supervalorizada</v>
      </c>
      <c r="ER165" s="17" t="str">
        <f>IF(VLOOKUP(BM165,Fundamentus!A:U,17,FALSE)&lt;0.1,"Fraco retorno",IF(VLOOKUP(BM165,Fundamentus!A:U,17,FALSE)&gt;0.1,"Bom retorno","n/a"))</f>
        <v>Fraco retorno</v>
      </c>
      <c r="ES165" s="17" t="str">
        <f>IF(VLOOKUP(BM165,Fundamentus!A:U,16,FALSE)&lt;0.1,"Ineficiente",IF(VLOOKUP(BM165,Fundamentus!A:U,16,FALSE)&gt;0.1,"Eficiente","n/a"))</f>
        <v>Ineficiente</v>
      </c>
      <c r="ET165" s="33" t="str">
        <f>IF(VLOOKUP(BM165,Fundamentus!A:U,16,FALSE)&lt;0.1,"Oper. Ineficiente",IF(VLOOKUP(BM165,Fundamentus!A:U,16,FALSE)&gt;0.1,"Oper.Eficiente","n/a"))</f>
        <v>Oper. Ineficiente</v>
      </c>
      <c r="EU165" s="34">
        <f>VLOOKUP(BM165,Fundamentus!A:U,14,FALSE)</f>
        <v>-6.1699999999999998E-2</v>
      </c>
      <c r="EV165" s="17" t="str">
        <f>IF(VLOOKUP(BM165,Fundamentus!A:U,21,FALSE)&lt;0,"Negativo",IF(VLOOKUP(BM165,Fundamentus!A:U,21,FALSE)&lt;0.05,"Fraco",IF(VLOOKUP(BM165,Fundamentus!A:U,21,FALSE)&lt;0.1,"Bom",IF(VLOOKUP(BM165,Fundamentus!A:U,21,FALSE)&gt;0.1,"Muito bom","n/a"))))</f>
        <v>Muito bom</v>
      </c>
      <c r="EX165" s="29" t="str">
        <f>IF(VLOOKUP(BM165,Fundamentus!A:U,15,FALSE)&gt;1,"Bom",IF(VLOOKUP(BM165,Fundamentus!A:U,15,FALSE)&lt;1,"Ruim","n/a"))</f>
        <v>Bom</v>
      </c>
      <c r="EY165" s="17" t="str">
        <f>IF(VLOOKUP(BM165,Fundamentus!A:U,20,FALSE)&lt;0.5,"Baixa",IF(VLOOKUP(BM165,Fundamentus!A:U,20,FALSE)&lt;1,"Moderada",IF(VLOOKUP(BM165,Fundamentus!A:U,20,FALSE)&lt;2,"Alerta",IF(VLOOKUP(BM165,Fundamentus!A:U,20,FALSE)&gt;2,"Alta","n/a"))))</f>
        <v>Moderada</v>
      </c>
      <c r="EZ165" s="10"/>
    </row>
    <row r="166" spans="1:156" s="2" customFormat="1" ht="11.25" x14ac:dyDescent="0.2">
      <c r="A166" s="4">
        <v>5</v>
      </c>
      <c r="B166" s="4">
        <v>5.13</v>
      </c>
      <c r="C166" s="4">
        <v>4.63</v>
      </c>
      <c r="D166" s="4">
        <v>4.13</v>
      </c>
      <c r="E166" s="4">
        <v>4.28</v>
      </c>
      <c r="F166" s="4">
        <v>4.22</v>
      </c>
      <c r="G166" s="4">
        <v>4.2</v>
      </c>
      <c r="H166" s="4">
        <v>3.99</v>
      </c>
      <c r="I166" s="4">
        <v>4.04</v>
      </c>
      <c r="J166" s="4">
        <v>4.47</v>
      </c>
      <c r="K166" s="4">
        <v>4.59</v>
      </c>
      <c r="L166" s="4">
        <v>4.33</v>
      </c>
      <c r="M166" s="4">
        <v>4.45</v>
      </c>
      <c r="N166" s="4">
        <v>4.38</v>
      </c>
      <c r="O166" s="4">
        <v>4.7</v>
      </c>
      <c r="P166" s="4">
        <v>4.63</v>
      </c>
      <c r="Q166" s="4">
        <v>4.8</v>
      </c>
      <c r="R166" s="4">
        <v>4.55</v>
      </c>
      <c r="S166" s="4">
        <v>4.45</v>
      </c>
      <c r="T166" s="4">
        <v>4.54</v>
      </c>
      <c r="U166" s="4">
        <v>4.1500000000000004</v>
      </c>
      <c r="V166" s="4">
        <v>4.3</v>
      </c>
      <c r="W166" s="4">
        <v>4.0999999999999996</v>
      </c>
      <c r="X166" s="4">
        <v>4.0599999999999996</v>
      </c>
      <c r="Y166" s="4">
        <v>4.46</v>
      </c>
      <c r="Z166" s="4">
        <v>4.33</v>
      </c>
      <c r="AA166" s="4">
        <v>4.09</v>
      </c>
      <c r="AB166" s="4">
        <v>4.28</v>
      </c>
      <c r="AC166" s="4">
        <v>4.2</v>
      </c>
      <c r="AD166" s="4">
        <v>4.17</v>
      </c>
      <c r="AE166" s="4">
        <v>3.76</v>
      </c>
      <c r="AF166" s="4">
        <v>3.59</v>
      </c>
      <c r="AG166" s="4">
        <v>3.53</v>
      </c>
      <c r="AH166" s="4">
        <v>3.41</v>
      </c>
      <c r="AI166" s="4">
        <v>3.22</v>
      </c>
      <c r="AJ166" s="4">
        <v>3.23</v>
      </c>
      <c r="AK166" s="4">
        <v>3.36</v>
      </c>
      <c r="AL166" s="4">
        <v>3.03</v>
      </c>
      <c r="AM166" s="4">
        <v>3.21</v>
      </c>
      <c r="AN166" s="4">
        <v>3.36</v>
      </c>
      <c r="AO166" s="4">
        <v>3.12</v>
      </c>
      <c r="AP166" s="4">
        <v>3.4</v>
      </c>
      <c r="AQ166" s="4">
        <v>2.94</v>
      </c>
      <c r="AR166" s="4">
        <v>2.74</v>
      </c>
      <c r="AS166" s="4">
        <v>2.69</v>
      </c>
      <c r="AT166" s="4">
        <v>2.65</v>
      </c>
      <c r="AU166" s="4">
        <v>2.6349999999999998</v>
      </c>
      <c r="AV166" s="4">
        <v>2.71</v>
      </c>
      <c r="AW166" s="4">
        <v>2.58</v>
      </c>
      <c r="AX166" s="4">
        <v>2.94</v>
      </c>
      <c r="AY166" s="12">
        <v>3.5</v>
      </c>
      <c r="AZ166" s="12">
        <v>3.89</v>
      </c>
      <c r="BA166" s="12">
        <v>3.61</v>
      </c>
      <c r="BB166" s="15">
        <v>3.57</v>
      </c>
      <c r="BC166" s="52">
        <v>3.66</v>
      </c>
      <c r="BD166" s="52">
        <v>3.82</v>
      </c>
      <c r="BE166" s="52">
        <v>3.76</v>
      </c>
      <c r="BF166" s="52">
        <v>3.93</v>
      </c>
      <c r="BG166" s="67">
        <v>4.08</v>
      </c>
      <c r="BH166" s="52">
        <v>4.13</v>
      </c>
      <c r="BI166" s="52">
        <v>4.0599999999999996</v>
      </c>
      <c r="BJ166" s="52">
        <v>3.67</v>
      </c>
      <c r="BK166" s="52">
        <v>3.75</v>
      </c>
      <c r="BL166" s="52" cm="1">
        <f t="array" aca="1" ref="BL166" ca="1">_FV(EC166,"Preço")</f>
        <v>3.75</v>
      </c>
      <c r="BM166" s="69" t="s">
        <v>162</v>
      </c>
      <c r="BN166" s="36" cm="1">
        <f t="array" aca="1" ref="BN166" ca="1">_FV(EC166,"Média de volume",TRUE)</f>
        <v>7074120</v>
      </c>
      <c r="BO166" s="36">
        <v>5763500</v>
      </c>
      <c r="BP166" s="36" cm="1">
        <f t="array" aca="1" ref="BP166" ca="1">_FV(EC166,"Volume")</f>
        <v>5763500</v>
      </c>
      <c r="BQ166" s="24" cm="1">
        <f t="array" aca="1" ref="BQ166" ca="1">_FV(EC166,"Beta")</f>
        <v>1.1631</v>
      </c>
      <c r="BR166" s="71" cm="1">
        <f t="array" aca="1" ref="BR166" ca="1">_FV(EC166,"Variação (%)",TRUE)</f>
        <v>-4.0921000000000006E-2</v>
      </c>
      <c r="BT166" s="17" cm="1">
        <f t="array" aca="1" ref="BT166" ca="1">_FV(EC166,"Baixo")</f>
        <v>3.75</v>
      </c>
      <c r="BU166" s="17" cm="1">
        <f t="array" aca="1" ref="BU166" ca="1">_FV(EC166,"Alto")</f>
        <v>3.95</v>
      </c>
      <c r="BV166" s="24"/>
      <c r="BW166" s="63">
        <f ca="1">SQRT(22.5*(BL166/VLOOKUP(BM166,Fundamentus!A:U,3,FALSE))*(BL166/VLOOKUP(BM166,Fundamentus!A:U,4,FALSE)))</f>
        <v>2.309996345403873</v>
      </c>
      <c r="BY166" s="62">
        <f t="shared" ca="1" si="168"/>
        <v>0</v>
      </c>
      <c r="BZ166" s="8"/>
      <c r="CA166" s="61">
        <f t="shared" si="169"/>
        <v>2.58</v>
      </c>
      <c r="CB166" s="61">
        <f t="shared" si="170"/>
        <v>5.13</v>
      </c>
      <c r="CC166" s="61">
        <f t="shared" si="171"/>
        <v>3.8600793650793652</v>
      </c>
      <c r="CD166" s="14"/>
      <c r="CE166" s="35">
        <f t="shared" si="154"/>
        <v>3.4804247951281702</v>
      </c>
      <c r="CF166" s="15">
        <f t="shared" si="172"/>
        <v>3.8260000000000218</v>
      </c>
      <c r="CG166" s="35">
        <f t="shared" si="155"/>
        <v>4.1715752048718731</v>
      </c>
      <c r="CI166" s="14"/>
      <c r="CJ166" s="17">
        <f t="shared" si="156"/>
        <v>-9.3333333333333712E-2</v>
      </c>
      <c r="CK166" s="17">
        <f t="shared" si="157"/>
        <v>1.2433333333333332</v>
      </c>
      <c r="CL166" s="17">
        <f t="shared" si="158"/>
        <v>2.4566666666666661</v>
      </c>
      <c r="CM166" s="38">
        <f t="shared" si="173"/>
        <v>3.793333333333333</v>
      </c>
      <c r="CN166" s="17">
        <f t="shared" si="159"/>
        <v>5.0066666666666659</v>
      </c>
      <c r="CO166" s="17">
        <f t="shared" si="160"/>
        <v>6.3433333333333328</v>
      </c>
      <c r="CP166" s="17">
        <f t="shared" si="161"/>
        <v>7.5566666666666658</v>
      </c>
      <c r="CQ166" s="2" cm="1">
        <f t="array" aca="1" ref="CQ166" ca="1">MAX(_xlfn._xlws.FILTER(CJ166:CP166,CJ166:CP166&lt;BL166))</f>
        <v>2.4566666666666661</v>
      </c>
      <c r="CR166" s="2" cm="1">
        <f t="array" aca="1" ref="CR166" ca="1">MIN(_xlfn._xlws.FILTER($CJ166:$CP166,$CJ166:$CP166&gt;BL166))</f>
        <v>3.793333333333333</v>
      </c>
      <c r="CS166" s="16">
        <f t="shared" ca="1" si="175"/>
        <v>0.54409769335142499</v>
      </c>
      <c r="CT166" s="20">
        <f t="shared" ca="1" si="176"/>
        <v>-0.2720488466757125</v>
      </c>
      <c r="CU166" s="20">
        <f t="shared" ca="1" si="177"/>
        <v>-0.18136589778380832</v>
      </c>
      <c r="CV166" s="20">
        <f t="shared" ca="1" si="178"/>
        <v>-0.108819538670285</v>
      </c>
      <c r="CW166" s="20">
        <f t="shared" ca="1" si="179"/>
        <v>-6.0455299261269441E-2</v>
      </c>
      <c r="CX166" s="20">
        <f t="shared" ca="1" si="180"/>
        <v>-3.2005746667730879E-2</v>
      </c>
      <c r="CY166" s="20">
        <f t="shared" ca="1" si="181"/>
        <v>-1.6487808889437121E-2</v>
      </c>
      <c r="CZ166" s="20">
        <f t="shared" ca="1" si="182"/>
        <v>-8.3707337438680765E-3</v>
      </c>
      <c r="DA166" s="21">
        <f t="shared" ca="1" si="183"/>
        <v>8.3707337438680765E-3</v>
      </c>
      <c r="DB166" s="21">
        <f t="shared" ca="1" si="184"/>
        <v>1.6487808889437121E-2</v>
      </c>
      <c r="DC166" s="21">
        <f t="shared" ca="1" si="185"/>
        <v>3.2005746667730879E-2</v>
      </c>
      <c r="DD166" s="21">
        <f t="shared" ca="1" si="186"/>
        <v>6.0455299261269441E-2</v>
      </c>
      <c r="DE166" s="21">
        <f t="shared" ca="1" si="187"/>
        <v>0.108819538670285</v>
      </c>
      <c r="DF166" s="21">
        <f t="shared" ca="1" si="188"/>
        <v>0.18136589778380832</v>
      </c>
      <c r="DG166" s="21">
        <f t="shared" ca="1" si="189"/>
        <v>0.2720488466757125</v>
      </c>
      <c r="DI166" s="16" cm="1">
        <f t="array" aca="1" ref="DI166" ca="1">MAX(_xlfn._xlws.FILTER(CT166:DG166,CT166:DG166&lt;BR166))</f>
        <v>-6.0455299261269441E-2</v>
      </c>
      <c r="DJ166" s="16" cm="1">
        <f t="array" aca="1" ref="DJ166" ca="1">MIN(_xlfn._xlws.FILTER(CT166:DG166,CT166:DG166&gt;BR166))</f>
        <v>-3.2005746667730879E-2</v>
      </c>
      <c r="DK166" s="2" cm="1">
        <f t="array" aca="1" ref="DK166" ca="1">_FV(EC166,"Fechamento anterior",TRUE)</f>
        <v>3.91</v>
      </c>
      <c r="DL166" s="28">
        <f t="shared" ca="1" si="162"/>
        <v>0.68663937981134182</v>
      </c>
      <c r="DM166" s="15">
        <f t="shared" ca="1" si="190"/>
        <v>3.6736197798884365</v>
      </c>
      <c r="DN166" s="15">
        <f t="shared" ca="1" si="191"/>
        <v>3.7848575305291723</v>
      </c>
      <c r="DO166" s="9"/>
      <c r="DP166" s="9"/>
      <c r="DQ166" s="9"/>
      <c r="DR166" s="89">
        <v>8.2214893780197789E-3</v>
      </c>
      <c r="DS166" s="89">
        <v>9.7971180144507484E-3</v>
      </c>
      <c r="DT166" s="89">
        <v>8.1170751455690443E-3</v>
      </c>
      <c r="DU166" s="89">
        <v>2.8449552593538562E-2</v>
      </c>
      <c r="DV166" s="89">
        <f t="shared" ca="1" si="163"/>
        <v>2.8449552593538562E-2</v>
      </c>
      <c r="DW166" s="72">
        <f t="shared" ca="1" si="164"/>
        <v>-0.21992318583216819</v>
      </c>
      <c r="DX166" s="37"/>
      <c r="DY166" s="35">
        <f t="shared" si="174"/>
        <v>0.17278760243592578</v>
      </c>
      <c r="DZ166" s="56"/>
      <c r="EA166" s="56"/>
      <c r="EC166" s="2" t="e" vm="168">
        <v>#VALUE!</v>
      </c>
      <c r="EE166" s="10" cm="1">
        <f t="array" aca="1" ref="EE166" ca="1">_FV(EC166,"Ações em circulação",TRUE)</f>
        <v>565999200</v>
      </c>
      <c r="EF166" s="18">
        <f>VLOOKUP(BM166,Fundamentus!A:U,5,FALSE)</f>
        <v>1.6419999999999999</v>
      </c>
      <c r="EG166" s="2">
        <f t="shared" ca="1" si="165"/>
        <v>1292629110.8404386</v>
      </c>
      <c r="EH166" s="17">
        <v>30118258.28258222</v>
      </c>
      <c r="EI166" s="17">
        <f t="shared" ca="1" si="166"/>
        <v>30118258.28258222</v>
      </c>
      <c r="EK166" s="16">
        <f t="shared" ca="1" si="153"/>
        <v>0</v>
      </c>
      <c r="EL166" s="32" t="str">
        <f>IF(VLOOKUP(BM166,Fundamentus!A:U,3,FALSE)&lt;15,"Bom",IF(VLOOKUP(BM166,Fundamentus!A:U,3,FALSE)&gt;15,"Ruim","n/a"))</f>
        <v>Ruim</v>
      </c>
      <c r="EM166" s="28" t="str">
        <f>IF(VLOOKUP(BM166,Fundamentus!A:U,4,FALSE)&lt;1,"Baixo",IF(VLOOKUP(BM166,Fundamentus!A:U,4,FALSE)&lt;1.5,"Moderado",IF(VLOOKUP(BM166,Fundamentus!A:U,4,FALSE)&gt;1.5,"Alto","n/a")))</f>
        <v>Baixo</v>
      </c>
      <c r="EN166" s="17" t="str">
        <f>IF(VLOOKUP(BM166,Fundamentus!A:U,8,FALSE)&lt;0,"Risco elevado",IF(VLOOKUP(BM166,Fundamentus!A:U,8,FALSE)&lt;1,"Saudável",IF(VLOOKUP(BM166,Fundamentus!A:U,8,FALSE)&lt;3,"Estável",IF(VLOOKUP(BM166,Fundamentus!A:U,8,FALSE)&gt;3,"Alerta","n/a"))))</f>
        <v>Alerta</v>
      </c>
      <c r="EO166" s="28" t="str">
        <f t="shared" si="167"/>
        <v>Bom</v>
      </c>
      <c r="EP166" s="17" t="str">
        <f>IF(VLOOKUP(BM166,Fundamentus!A:U,12,FALSE)&lt;2,"Subvalorizada",IF(VLOOKUP(BM166,Fundamentus!A:U,12,FALSE)&lt;6,"Muita barata",IF(VLOOKUP(BM166,Fundamentus!A:U,12,FALSE)&lt;6,"Barata",IF(VLOOKUP(BM166,Fundamentus!A:U,12,FALSE)&lt;8,"Atrativa",IF(VLOOKUP(BM166,Fundamentus!A:U,12,FALSE)&gt;8,"Supervalorizada","n/a")))))</f>
        <v>Atrativa</v>
      </c>
      <c r="ER166" s="17" t="str">
        <f>IF(VLOOKUP(BM166,Fundamentus!A:U,17,FALSE)&lt;0.1,"Fraco retorno",IF(VLOOKUP(BM166,Fundamentus!A:U,17,FALSE)&gt;0.1,"Bom retorno","n/a"))</f>
        <v>Fraco retorno</v>
      </c>
      <c r="ES166" s="17" t="str">
        <f>IF(VLOOKUP(BM166,Fundamentus!A:U,16,FALSE)&lt;0.1,"Ineficiente",IF(VLOOKUP(BM166,Fundamentus!A:U,16,FALSE)&gt;0.1,"Eficiente","n/a"))</f>
        <v>Ineficiente</v>
      </c>
      <c r="ET166" s="33" t="str">
        <f>IF(VLOOKUP(BM166,Fundamentus!A:U,16,FALSE)&lt;0.1,"Oper. Ineficiente",IF(VLOOKUP(BM166,Fundamentus!A:U,16,FALSE)&gt;0.1,"Oper.Eficiente","n/a"))</f>
        <v>Oper. Ineficiente</v>
      </c>
      <c r="EU166" s="34">
        <f>VLOOKUP(BM166,Fundamentus!A:U,14,FALSE)</f>
        <v>2.3300000000000001E-2</v>
      </c>
      <c r="EV166" s="17" t="str">
        <f>IF(VLOOKUP(BM166,Fundamentus!A:U,21,FALSE)&lt;0,"Negativo",IF(VLOOKUP(BM166,Fundamentus!A:U,21,FALSE)&lt;0.05,"Fraco",IF(VLOOKUP(BM166,Fundamentus!A:U,21,FALSE)&lt;0.1,"Bom",IF(VLOOKUP(BM166,Fundamentus!A:U,21,FALSE)&gt;0.1,"Muito bom","n/a"))))</f>
        <v>Muito bom</v>
      </c>
      <c r="EX166" s="29" t="str">
        <f>IF(VLOOKUP(BM166,Fundamentus!A:U,15,FALSE)&gt;1,"Bom",IF(VLOOKUP(BM166,Fundamentus!A:U,15,FALSE)&lt;1,"Ruim","n/a"))</f>
        <v>Bom</v>
      </c>
      <c r="EY166" s="17" t="str">
        <f>IF(VLOOKUP(BM166,Fundamentus!A:U,20,FALSE)&lt;0.5,"Baixa",IF(VLOOKUP(BM166,Fundamentus!A:U,20,FALSE)&lt;1,"Moderada",IF(VLOOKUP(BM166,Fundamentus!A:U,20,FALSE)&lt;2,"Alerta",IF(VLOOKUP(BM166,Fundamentus!A:U,20,FALSE)&gt;2,"Alta","n/a"))))</f>
        <v>Baixa</v>
      </c>
      <c r="EZ166" s="10"/>
    </row>
    <row r="167" spans="1:156" s="2" customFormat="1" ht="11.25" x14ac:dyDescent="0.2">
      <c r="A167" s="4">
        <v>2.19</v>
      </c>
      <c r="B167" s="4">
        <v>2.2599999999999998</v>
      </c>
      <c r="C167" s="4">
        <v>2.2400000000000002</v>
      </c>
      <c r="D167" s="4">
        <v>2.31</v>
      </c>
      <c r="E167" s="4">
        <v>2.1</v>
      </c>
      <c r="F167" s="4">
        <v>1.94</v>
      </c>
      <c r="G167" s="4">
        <v>1.89</v>
      </c>
      <c r="H167" s="4">
        <v>1.79</v>
      </c>
      <c r="I167" s="4">
        <v>1.85</v>
      </c>
      <c r="J167" s="4">
        <v>1.92</v>
      </c>
      <c r="K167" s="4">
        <v>1.96</v>
      </c>
      <c r="L167" s="4">
        <v>1.86</v>
      </c>
      <c r="M167" s="4">
        <v>1.76</v>
      </c>
      <c r="N167" s="4">
        <v>1.81</v>
      </c>
      <c r="O167" s="4">
        <v>1.75</v>
      </c>
      <c r="P167" s="4">
        <v>1.75</v>
      </c>
      <c r="Q167" s="4">
        <v>1.78</v>
      </c>
      <c r="R167" s="4">
        <v>1.65</v>
      </c>
      <c r="S167" s="4">
        <v>1.75</v>
      </c>
      <c r="T167" s="4">
        <v>1.94</v>
      </c>
      <c r="U167" s="4">
        <v>1.7</v>
      </c>
      <c r="V167" s="4">
        <v>1.75</v>
      </c>
      <c r="W167" s="4">
        <v>1.76</v>
      </c>
      <c r="X167" s="4">
        <v>1.71</v>
      </c>
      <c r="Y167" s="4">
        <v>1.63</v>
      </c>
      <c r="Z167" s="4">
        <v>1.63</v>
      </c>
      <c r="AA167" s="4">
        <v>1.58</v>
      </c>
      <c r="AB167" s="4">
        <v>1.65</v>
      </c>
      <c r="AC167" s="4">
        <v>1.64</v>
      </c>
      <c r="AD167" s="4">
        <v>1.77</v>
      </c>
      <c r="AE167" s="4">
        <v>1.65</v>
      </c>
      <c r="AF167" s="4">
        <v>1.65</v>
      </c>
      <c r="AG167" s="4">
        <v>1.48</v>
      </c>
      <c r="AH167" s="4">
        <v>1.36</v>
      </c>
      <c r="AI167" s="4">
        <v>1.5</v>
      </c>
      <c r="AJ167" s="4">
        <v>1.47</v>
      </c>
      <c r="AK167" s="4">
        <v>1.41</v>
      </c>
      <c r="AL167" s="4">
        <v>1.31</v>
      </c>
      <c r="AM167" s="4">
        <v>1.29</v>
      </c>
      <c r="AN167" s="4">
        <v>1.3</v>
      </c>
      <c r="AO167" s="4">
        <v>1.27</v>
      </c>
      <c r="AP167" s="4">
        <v>1.34</v>
      </c>
      <c r="AQ167" s="4">
        <v>1.26</v>
      </c>
      <c r="AR167" s="4">
        <v>1.17</v>
      </c>
      <c r="AS167" s="4">
        <v>1.2</v>
      </c>
      <c r="AT167" s="4">
        <v>1.33</v>
      </c>
      <c r="AU167" s="4">
        <v>1.4</v>
      </c>
      <c r="AV167" s="4">
        <v>1.45</v>
      </c>
      <c r="AW167" s="4">
        <v>1.33</v>
      </c>
      <c r="AX167" s="4">
        <v>1.32</v>
      </c>
      <c r="AY167" s="12">
        <v>1.41</v>
      </c>
      <c r="AZ167" s="12">
        <v>1.4</v>
      </c>
      <c r="BA167" s="12">
        <v>1.38</v>
      </c>
      <c r="BB167" s="15">
        <v>1.39</v>
      </c>
      <c r="BC167" s="52">
        <v>1.5</v>
      </c>
      <c r="BD167" s="52">
        <v>1.6</v>
      </c>
      <c r="BE167" s="52">
        <v>1.75</v>
      </c>
      <c r="BF167" s="52">
        <v>1.66</v>
      </c>
      <c r="BG167" s="67">
        <v>1.65</v>
      </c>
      <c r="BH167" s="52">
        <v>1.64</v>
      </c>
      <c r="BI167" s="52">
        <v>1.67</v>
      </c>
      <c r="BJ167" s="52">
        <v>1.58</v>
      </c>
      <c r="BK167" s="52">
        <v>1.38</v>
      </c>
      <c r="BL167" s="52" cm="1">
        <f t="array" aca="1" ref="BL167" ca="1">_FV(EC167,"Preço")</f>
        <v>1.38</v>
      </c>
      <c r="BM167" s="69" t="s">
        <v>163</v>
      </c>
      <c r="BN167" s="36" cm="1">
        <f t="array" aca="1" ref="BN167" ca="1">_FV(EC167,"Média de volume",TRUE)</f>
        <v>79210</v>
      </c>
      <c r="BO167" s="36">
        <v>874600</v>
      </c>
      <c r="BP167" s="36" cm="1">
        <f t="array" aca="1" ref="BP167" ca="1">_FV(EC167,"Volume")</f>
        <v>874600</v>
      </c>
      <c r="BQ167" s="24" cm="1">
        <f t="array" aca="1" ref="BQ167" ca="1">_FV(EC167,"Beta")</f>
        <v>1.3888</v>
      </c>
      <c r="BR167" s="71" cm="1">
        <f t="array" aca="1" ref="BR167" ca="1">_FV(EC167,"Variação (%)",TRUE)</f>
        <v>-0.11538500000000002</v>
      </c>
      <c r="BT167" s="17" cm="1">
        <f t="array" aca="1" ref="BT167" ca="1">_FV(EC167,"Baixo")</f>
        <v>1.36</v>
      </c>
      <c r="BU167" s="17" cm="1">
        <f t="array" aca="1" ref="BU167" ca="1">_FV(EC167,"Alto")</f>
        <v>1.56</v>
      </c>
      <c r="BV167" s="24"/>
      <c r="BW167" s="63">
        <f ca="1">SQRT(22.5*(BL167/VLOOKUP(BM167,Fundamentus!A:U,3,FALSE))*(BL167/VLOOKUP(BM167,Fundamentus!A:U,4,FALSE)))</f>
        <v>1.8620333900532013</v>
      </c>
      <c r="BY167" s="62">
        <f t="shared" ca="1" si="168"/>
        <v>0</v>
      </c>
      <c r="BZ167" s="8"/>
      <c r="CA167" s="61">
        <f t="shared" si="169"/>
        <v>1.17</v>
      </c>
      <c r="CB167" s="61">
        <f t="shared" si="170"/>
        <v>2.31</v>
      </c>
      <c r="CC167" s="61">
        <f t="shared" si="171"/>
        <v>1.6320634920634922</v>
      </c>
      <c r="CD167" s="14"/>
      <c r="CE167" s="35">
        <f t="shared" si="154"/>
        <v>1.3217899881586261</v>
      </c>
      <c r="CF167" s="15">
        <f t="shared" si="172"/>
        <v>1.5240000000000009</v>
      </c>
      <c r="CG167" s="35">
        <f t="shared" si="155"/>
        <v>1.7262100118413757</v>
      </c>
      <c r="CI167" s="14"/>
      <c r="CJ167" s="17">
        <f t="shared" si="156"/>
        <v>-7.6666666666666661E-2</v>
      </c>
      <c r="CK167" s="17">
        <f t="shared" si="157"/>
        <v>0.54666666666666663</v>
      </c>
      <c r="CL167" s="17">
        <f t="shared" si="158"/>
        <v>1.0633333333333335</v>
      </c>
      <c r="CM167" s="38">
        <f t="shared" si="173"/>
        <v>1.6866666666666668</v>
      </c>
      <c r="CN167" s="17">
        <f t="shared" si="159"/>
        <v>2.2033333333333336</v>
      </c>
      <c r="CO167" s="17">
        <f t="shared" si="160"/>
        <v>2.8266666666666671</v>
      </c>
      <c r="CP167" s="17">
        <f t="shared" si="161"/>
        <v>3.3433333333333337</v>
      </c>
      <c r="CQ167" s="2" cm="1">
        <f t="array" aca="1" ref="CQ167" ca="1">MAX(_xlfn._xlws.FILTER(CJ167:CP167,CJ167:CP167&lt;BL167))</f>
        <v>1.0633333333333335</v>
      </c>
      <c r="CR167" s="2" cm="1">
        <f t="array" aca="1" ref="CR167" ca="1">MIN(_xlfn._xlws.FILTER($CJ167:$CP167,$CJ167:$CP167&gt;BL167))</f>
        <v>1.6866666666666668</v>
      </c>
      <c r="CS167" s="16">
        <f t="shared" ca="1" si="175"/>
        <v>0.58620689655172398</v>
      </c>
      <c r="CT167" s="20">
        <f t="shared" ca="1" si="176"/>
        <v>-0.29310344827586199</v>
      </c>
      <c r="CU167" s="20">
        <f t="shared" ca="1" si="177"/>
        <v>-0.19540229885057467</v>
      </c>
      <c r="CV167" s="20">
        <f t="shared" ca="1" si="178"/>
        <v>-0.1172413793103448</v>
      </c>
      <c r="CW167" s="20">
        <f t="shared" ca="1" si="179"/>
        <v>-6.5134099616858218E-2</v>
      </c>
      <c r="CX167" s="20">
        <f t="shared" ca="1" si="180"/>
        <v>-3.4482758620689648E-2</v>
      </c>
      <c r="CY167" s="20">
        <f t="shared" ca="1" si="181"/>
        <v>-1.7763845350052241E-2</v>
      </c>
      <c r="CZ167" s="20">
        <f t="shared" ca="1" si="182"/>
        <v>-9.0185676392572911E-3</v>
      </c>
      <c r="DA167" s="21">
        <f t="shared" ca="1" si="183"/>
        <v>9.0185676392572911E-3</v>
      </c>
      <c r="DB167" s="21">
        <f t="shared" ca="1" si="184"/>
        <v>1.7763845350052241E-2</v>
      </c>
      <c r="DC167" s="21">
        <f t="shared" ca="1" si="185"/>
        <v>3.4482758620689648E-2</v>
      </c>
      <c r="DD167" s="21">
        <f t="shared" ca="1" si="186"/>
        <v>6.5134099616858218E-2</v>
      </c>
      <c r="DE167" s="21">
        <f t="shared" ca="1" si="187"/>
        <v>0.1172413793103448</v>
      </c>
      <c r="DF167" s="21">
        <f t="shared" ca="1" si="188"/>
        <v>0.19540229885057467</v>
      </c>
      <c r="DG167" s="21">
        <f t="shared" ca="1" si="189"/>
        <v>0.29310344827586199</v>
      </c>
      <c r="DI167" s="16" cm="1">
        <f t="array" aca="1" ref="DI167" ca="1">MAX(_xlfn._xlws.FILTER(CT167:DG167,CT167:DG167&lt;BR167))</f>
        <v>-0.1172413793103448</v>
      </c>
      <c r="DJ167" s="16" cm="1">
        <f t="array" aca="1" ref="DJ167" ca="1">MIN(_xlfn._xlws.FILTER(CT167:DG167,CT167:DG167&gt;BR167))</f>
        <v>-6.5134099616858218E-2</v>
      </c>
      <c r="DK167" s="2" cm="1">
        <f t="array" aca="1" ref="DK167" ca="1">_FV(EC167,"Fechamento anterior",TRUE)</f>
        <v>1.56</v>
      </c>
      <c r="DL167" s="28">
        <f t="shared" ca="1" si="162"/>
        <v>3.5633484162893345E-2</v>
      </c>
      <c r="DM167" s="15">
        <f t="shared" ca="1" si="190"/>
        <v>1.3771034482758622</v>
      </c>
      <c r="DN167" s="15">
        <f t="shared" ca="1" si="191"/>
        <v>1.4583908045977012</v>
      </c>
      <c r="DO167" s="9"/>
      <c r="DP167" s="9"/>
      <c r="DQ167" s="9"/>
      <c r="DR167" s="89">
        <v>4.2624042624042641E-3</v>
      </c>
      <c r="DS167" s="89">
        <v>1.5416486004721303E-2</v>
      </c>
      <c r="DT167" s="89">
        <v>1.8037135278514582E-2</v>
      </c>
      <c r="DU167" s="89">
        <v>5.210727969348658E-2</v>
      </c>
      <c r="DV167" s="89">
        <f t="shared" ca="1" si="163"/>
        <v>5.210727969348658E-2</v>
      </c>
      <c r="DW167" s="72">
        <f t="shared" ca="1" si="164"/>
        <v>-0.71213091126745465</v>
      </c>
      <c r="DX167" s="37"/>
      <c r="DY167" s="35">
        <f t="shared" si="174"/>
        <v>0.10110500592068734</v>
      </c>
      <c r="DZ167" s="56"/>
      <c r="EA167" s="56"/>
      <c r="EC167" s="2" t="e" vm="169">
        <v>#VALUE!</v>
      </c>
      <c r="EE167" s="10" cm="1">
        <f t="array" aca="1" ref="EE167" ca="1">_FV(EC167,"Ações em circulação",TRUE)</f>
        <v>147554600</v>
      </c>
      <c r="EF167" s="18">
        <f>VLOOKUP(BM167,Fundamentus!A:U,5,FALSE)</f>
        <v>1.2010000000000001</v>
      </c>
      <c r="EG167" s="2">
        <f t="shared" ca="1" si="165"/>
        <v>169546501.24895915</v>
      </c>
      <c r="EH167" s="17">
        <v>27805626.204829302</v>
      </c>
      <c r="EI167" s="17">
        <f t="shared" ca="1" si="166"/>
        <v>27805626.204829302</v>
      </c>
      <c r="EK167" s="16">
        <f t="shared" ca="1" si="153"/>
        <v>0</v>
      </c>
      <c r="EL167" s="32" t="str">
        <f>IF(VLOOKUP(BM167,Fundamentus!A:U,3,FALSE)&lt;15,"Bom",IF(VLOOKUP(BM167,Fundamentus!A:U,3,FALSE)&gt;15,"Ruim","n/a"))</f>
        <v>Bom</v>
      </c>
      <c r="EM167" s="28" t="str">
        <f>IF(VLOOKUP(BM167,Fundamentus!A:U,4,FALSE)&lt;1,"Baixo",IF(VLOOKUP(BM167,Fundamentus!A:U,4,FALSE)&lt;1.5,"Moderado",IF(VLOOKUP(BM167,Fundamentus!A:U,4,FALSE)&gt;1.5,"Alto","n/a")))</f>
        <v>Moderado</v>
      </c>
      <c r="EN167" s="17" t="str">
        <f>IF(VLOOKUP(BM167,Fundamentus!A:U,8,FALSE)&lt;0,"Risco elevado",IF(VLOOKUP(BM167,Fundamentus!A:U,8,FALSE)&lt;1,"Saudável",IF(VLOOKUP(BM167,Fundamentus!A:U,8,FALSE)&lt;3,"Estável",IF(VLOOKUP(BM167,Fundamentus!A:U,8,FALSE)&gt;3,"Alerta","n/a"))))</f>
        <v>Alerta</v>
      </c>
      <c r="EO167" s="28" t="str">
        <f t="shared" si="167"/>
        <v>Bom</v>
      </c>
      <c r="EP167" s="17" t="str">
        <f>IF(VLOOKUP(BM167,Fundamentus!A:U,12,FALSE)&lt;2,"Subvalorizada",IF(VLOOKUP(BM167,Fundamentus!A:U,12,FALSE)&lt;6,"Muita barata",IF(VLOOKUP(BM167,Fundamentus!A:U,12,FALSE)&lt;6,"Barata",IF(VLOOKUP(BM167,Fundamentus!A:U,12,FALSE)&lt;8,"Atrativa",IF(VLOOKUP(BM167,Fundamentus!A:U,12,FALSE)&gt;8,"Supervalorizada","n/a")))))</f>
        <v>Muita barata</v>
      </c>
      <c r="ER167" s="17" t="str">
        <f>IF(VLOOKUP(BM167,Fundamentus!A:U,17,FALSE)&lt;0.1,"Fraco retorno",IF(VLOOKUP(BM167,Fundamentus!A:U,17,FALSE)&gt;0.1,"Bom retorno","n/a"))</f>
        <v>Fraco retorno</v>
      </c>
      <c r="ES167" s="17" t="str">
        <f>IF(VLOOKUP(BM167,Fundamentus!A:U,16,FALSE)&lt;0.1,"Ineficiente",IF(VLOOKUP(BM167,Fundamentus!A:U,16,FALSE)&gt;0.1,"Eficiente","n/a"))</f>
        <v>Eficiente</v>
      </c>
      <c r="ET167" s="33" t="str">
        <f>IF(VLOOKUP(BM167,Fundamentus!A:U,16,FALSE)&lt;0.1,"Oper. Ineficiente",IF(VLOOKUP(BM167,Fundamentus!A:U,16,FALSE)&gt;0.1,"Oper.Eficiente","n/a"))</f>
        <v>Oper.Eficiente</v>
      </c>
      <c r="EU167" s="34">
        <f>VLOOKUP(BM167,Fundamentus!A:U,14,FALSE)</f>
        <v>0.16400000000000001</v>
      </c>
      <c r="EV167" s="17" t="str">
        <f>IF(VLOOKUP(BM167,Fundamentus!A:U,21,FALSE)&lt;0,"Negativo",IF(VLOOKUP(BM167,Fundamentus!A:U,21,FALSE)&lt;0.05,"Fraco",IF(VLOOKUP(BM167,Fundamentus!A:U,21,FALSE)&lt;0.1,"Bom",IF(VLOOKUP(BM167,Fundamentus!A:U,21,FALSE)&gt;0.1,"Muito bom","n/a"))))</f>
        <v>Negativo</v>
      </c>
      <c r="EX167" s="29" t="str">
        <f>IF(VLOOKUP(BM167,Fundamentus!A:U,15,FALSE)&gt;1,"Bom",IF(VLOOKUP(BM167,Fundamentus!A:U,15,FALSE)&lt;1,"Ruim","n/a"))</f>
        <v>Bom</v>
      </c>
      <c r="EY167" s="17" t="str">
        <f>IF(VLOOKUP(BM167,Fundamentus!A:U,20,FALSE)&lt;0.5,"Baixa",IF(VLOOKUP(BM167,Fundamentus!A:U,20,FALSE)&lt;1,"Moderada",IF(VLOOKUP(BM167,Fundamentus!A:U,20,FALSE)&lt;2,"Alerta",IF(VLOOKUP(BM167,Fundamentus!A:U,20,FALSE)&gt;2,"Alta","n/a"))))</f>
        <v>Baixa</v>
      </c>
      <c r="EZ167" s="10"/>
    </row>
    <row r="168" spans="1:156" s="2" customFormat="1" ht="11.25" x14ac:dyDescent="0.2">
      <c r="A168" s="4">
        <v>4.2</v>
      </c>
      <c r="B168" s="4">
        <v>4.0999999999999996</v>
      </c>
      <c r="C168" s="4">
        <v>4.0599999999999996</v>
      </c>
      <c r="D168" s="4">
        <v>3.95</v>
      </c>
      <c r="E168" s="4">
        <v>3.69</v>
      </c>
      <c r="F168" s="4">
        <v>3.57</v>
      </c>
      <c r="G168" s="4">
        <v>3.46</v>
      </c>
      <c r="H168" s="4">
        <v>3.36</v>
      </c>
      <c r="I168" s="4">
        <v>3.5</v>
      </c>
      <c r="J168" s="4">
        <v>4.01</v>
      </c>
      <c r="K168" s="4">
        <v>4.38</v>
      </c>
      <c r="L168" s="4">
        <v>4.05</v>
      </c>
      <c r="M168" s="4">
        <v>3.96</v>
      </c>
      <c r="N168" s="4">
        <v>3.91</v>
      </c>
      <c r="O168" s="4">
        <v>4</v>
      </c>
      <c r="P168" s="4">
        <v>3.84</v>
      </c>
      <c r="Q168" s="4">
        <v>3.93</v>
      </c>
      <c r="R168" s="4">
        <v>3.72</v>
      </c>
      <c r="S168" s="4">
        <v>3.8</v>
      </c>
      <c r="T168" s="4">
        <v>3.84</v>
      </c>
      <c r="U168" s="4">
        <v>3.64</v>
      </c>
      <c r="V168" s="4">
        <v>3.6</v>
      </c>
      <c r="W168" s="4">
        <v>3.81</v>
      </c>
      <c r="X168" s="4">
        <v>3.62</v>
      </c>
      <c r="Y168" s="4">
        <v>3.61</v>
      </c>
      <c r="Z168" s="4">
        <v>3.61</v>
      </c>
      <c r="AA168" s="4">
        <v>3.64</v>
      </c>
      <c r="AB168" s="4">
        <v>3.67</v>
      </c>
      <c r="AC168" s="4">
        <v>3.88</v>
      </c>
      <c r="AD168" s="4">
        <v>3.84</v>
      </c>
      <c r="AE168" s="4">
        <v>3.52</v>
      </c>
      <c r="AF168" s="4">
        <v>3.25</v>
      </c>
      <c r="AG168" s="4">
        <v>3.1</v>
      </c>
      <c r="AH168" s="4">
        <v>2.9</v>
      </c>
      <c r="AI168" s="4">
        <v>2.86</v>
      </c>
      <c r="AJ168" s="4">
        <v>2.85</v>
      </c>
      <c r="AK168" s="4">
        <v>2.87</v>
      </c>
      <c r="AL168" s="4">
        <v>3.03</v>
      </c>
      <c r="AM168" s="4">
        <v>3.1</v>
      </c>
      <c r="AN168" s="4">
        <v>3.27</v>
      </c>
      <c r="AO168" s="4">
        <v>3.16</v>
      </c>
      <c r="AP168" s="4">
        <v>3.25</v>
      </c>
      <c r="AQ168" s="4">
        <v>3.15</v>
      </c>
      <c r="AR168" s="4">
        <v>3.04</v>
      </c>
      <c r="AS168" s="4">
        <v>3.11</v>
      </c>
      <c r="AT168" s="4">
        <v>3.33</v>
      </c>
      <c r="AU168" s="4">
        <v>3.39</v>
      </c>
      <c r="AV168" s="4">
        <v>3.45</v>
      </c>
      <c r="AW168" s="4">
        <v>3.5</v>
      </c>
      <c r="AX168" s="4">
        <v>3.61</v>
      </c>
      <c r="AY168" s="12">
        <v>3.63</v>
      </c>
      <c r="AZ168" s="12">
        <v>4</v>
      </c>
      <c r="BA168" s="12">
        <v>3.84</v>
      </c>
      <c r="BB168" s="15">
        <v>3.82</v>
      </c>
      <c r="BC168" s="52">
        <v>4.28</v>
      </c>
      <c r="BD168" s="52">
        <v>4.01</v>
      </c>
      <c r="BE168" s="52">
        <v>4.03</v>
      </c>
      <c r="BF168" s="52">
        <v>3.88</v>
      </c>
      <c r="BG168" s="67">
        <v>3.99</v>
      </c>
      <c r="BH168" s="52">
        <v>4</v>
      </c>
      <c r="BI168" s="52">
        <v>3.87</v>
      </c>
      <c r="BJ168" s="52">
        <v>4.12</v>
      </c>
      <c r="BK168" s="52">
        <v>4.01</v>
      </c>
      <c r="BL168" s="52" cm="1">
        <f t="array" aca="1" ref="BL168" ca="1">_FV(EC168,"Preço")</f>
        <v>4.01</v>
      </c>
      <c r="BM168" s="69" t="s">
        <v>164</v>
      </c>
      <c r="BN168" s="36" cm="1">
        <f t="array" aca="1" ref="BN168" ca="1">_FV(EC168,"Média de volume",TRUE)</f>
        <v>422760</v>
      </c>
      <c r="BO168" s="36">
        <v>254000</v>
      </c>
      <c r="BP168" s="36" cm="1">
        <f t="array" aca="1" ref="BP168" ca="1">_FV(EC168,"Volume")</f>
        <v>254000</v>
      </c>
      <c r="BQ168" s="24" cm="1">
        <f t="array" aca="1" ref="BQ168" ca="1">_FV(EC168,"Beta")</f>
        <v>2.0829</v>
      </c>
      <c r="BR168" s="71" cm="1">
        <f t="array" aca="1" ref="BR168" ca="1">_FV(EC168,"Variação (%)",TRUE)</f>
        <v>2.5000000000000001E-3</v>
      </c>
      <c r="BT168" s="17" cm="1">
        <f t="array" aca="1" ref="BT168" ca="1">_FV(EC168,"Baixo")</f>
        <v>3.95</v>
      </c>
      <c r="BU168" s="17" cm="1">
        <f t="array" aca="1" ref="BU168" ca="1">_FV(EC168,"Alto")</f>
        <v>4.01</v>
      </c>
      <c r="BV168" s="24"/>
      <c r="BW168" s="63">
        <f ca="1">SQRT(22.5*(BL168/VLOOKUP(BM168,Fundamentus!A:U,3,FALSE))*(BL168/VLOOKUP(BM168,Fundamentus!A:U,4,FALSE)))</f>
        <v>11.007182979986867</v>
      </c>
      <c r="BY168" s="62">
        <f t="shared" ca="1" si="168"/>
        <v>0</v>
      </c>
      <c r="BZ168" s="8"/>
      <c r="CA168" s="61">
        <f t="shared" si="169"/>
        <v>2.85</v>
      </c>
      <c r="CB168" s="61">
        <f t="shared" si="170"/>
        <v>4.38</v>
      </c>
      <c r="CC168" s="61">
        <f t="shared" si="171"/>
        <v>3.6423809523809529</v>
      </c>
      <c r="CD168" s="14"/>
      <c r="CE168" s="35">
        <f t="shared" si="154"/>
        <v>3.8445236824148612</v>
      </c>
      <c r="CF168" s="15">
        <f t="shared" si="172"/>
        <v>4.01400000000001</v>
      </c>
      <c r="CG168" s="35">
        <f t="shared" si="155"/>
        <v>4.1834763175851588</v>
      </c>
      <c r="CI168" s="14"/>
      <c r="CJ168" s="17">
        <f t="shared" si="156"/>
        <v>1.6566666666666676</v>
      </c>
      <c r="CK168" s="17">
        <f t="shared" si="157"/>
        <v>2.2533333333333339</v>
      </c>
      <c r="CL168" s="17">
        <f t="shared" si="158"/>
        <v>3.1866666666666674</v>
      </c>
      <c r="CM168" s="38">
        <f t="shared" si="173"/>
        <v>3.7833333333333337</v>
      </c>
      <c r="CN168" s="17">
        <f t="shared" si="159"/>
        <v>4.7166666666666668</v>
      </c>
      <c r="CO168" s="17">
        <f t="shared" si="160"/>
        <v>5.3133333333333335</v>
      </c>
      <c r="CP168" s="17">
        <f t="shared" si="161"/>
        <v>6.246666666666667</v>
      </c>
      <c r="CQ168" s="2" cm="1">
        <f t="array" aca="1" ref="CQ168" ca="1">MAX(_xlfn._xlws.FILTER(CJ168:CP168,CJ168:CP168&lt;BL168))</f>
        <v>3.7833333333333337</v>
      </c>
      <c r="CR168" s="2" cm="1">
        <f t="array" aca="1" ref="CR168" ca="1">MIN(_xlfn._xlws.FILTER($CJ168:$CP168,$CJ168:$CP168&gt;BL168))</f>
        <v>4.7166666666666668</v>
      </c>
      <c r="CS168" s="16">
        <f t="shared" ca="1" si="175"/>
        <v>0.24669603524229067</v>
      </c>
      <c r="CT168" s="20">
        <f t="shared" ca="1" si="176"/>
        <v>-0.12334801762114533</v>
      </c>
      <c r="CU168" s="20">
        <f t="shared" ca="1" si="177"/>
        <v>-8.2232011747430223E-2</v>
      </c>
      <c r="CV168" s="20">
        <f t="shared" ca="1" si="178"/>
        <v>-4.9339207048458136E-2</v>
      </c>
      <c r="CW168" s="20">
        <f t="shared" ca="1" si="179"/>
        <v>-2.7410670582476742E-2</v>
      </c>
      <c r="CX168" s="20">
        <f t="shared" ca="1" si="180"/>
        <v>-1.4511531484840627E-2</v>
      </c>
      <c r="CY168" s="20">
        <f t="shared" ca="1" si="181"/>
        <v>-7.4756374315845661E-3</v>
      </c>
      <c r="CZ168" s="20">
        <f t="shared" ca="1" si="182"/>
        <v>-3.7953236191121641E-3</v>
      </c>
      <c r="DA168" s="21">
        <f t="shared" ca="1" si="183"/>
        <v>3.7953236191121641E-3</v>
      </c>
      <c r="DB168" s="21">
        <f t="shared" ca="1" si="184"/>
        <v>7.4756374315845661E-3</v>
      </c>
      <c r="DC168" s="21">
        <f t="shared" ca="1" si="185"/>
        <v>1.4511531484840627E-2</v>
      </c>
      <c r="DD168" s="21">
        <f t="shared" ca="1" si="186"/>
        <v>2.7410670582476742E-2</v>
      </c>
      <c r="DE168" s="21">
        <f t="shared" ca="1" si="187"/>
        <v>4.9339207048458136E-2</v>
      </c>
      <c r="DF168" s="21">
        <f t="shared" ca="1" si="188"/>
        <v>8.2232011747430223E-2</v>
      </c>
      <c r="DG168" s="21">
        <f t="shared" ca="1" si="189"/>
        <v>0.12334801762114533</v>
      </c>
      <c r="DI168" s="16" cm="1">
        <f t="array" aca="1" ref="DI168" ca="1">MAX(_xlfn._xlws.FILTER(CT168:DG168,CT168:DG168&lt;BR168))</f>
        <v>-3.7953236191121641E-3</v>
      </c>
      <c r="DJ168" s="16" cm="1">
        <f t="array" aca="1" ref="DJ168" ca="1">MIN(_xlfn._xlws.FILTER(CT168:DG168,CT168:DG168&gt;BR168))</f>
        <v>3.7953236191121641E-3</v>
      </c>
      <c r="DK168" s="2" cm="1">
        <f t="array" aca="1" ref="DK168" ca="1">_FV(EC168,"Fechamento anterior",TRUE)</f>
        <v>4</v>
      </c>
      <c r="DL168" s="28">
        <f t="shared" ca="1" si="162"/>
        <v>0.82935267857142136</v>
      </c>
      <c r="DM168" s="15">
        <f t="shared" ca="1" si="190"/>
        <v>3.9848187055235513</v>
      </c>
      <c r="DN168" s="15">
        <f t="shared" ca="1" si="191"/>
        <v>4.0151812944764487</v>
      </c>
      <c r="DO168" s="9"/>
      <c r="DP168" s="9"/>
      <c r="DQ168" s="9"/>
      <c r="DR168" s="89">
        <v>1.3174823735268376E-2</v>
      </c>
      <c r="DS168" s="89">
        <v>6.7869636916507011E-3</v>
      </c>
      <c r="DT168" s="89">
        <v>1.2899139097636115E-2</v>
      </c>
      <c r="DU168" s="89">
        <v>7.5906472382243281E-3</v>
      </c>
      <c r="DV168" s="89">
        <f t="shared" ca="1" si="163"/>
        <v>7.5906472382243281E-3</v>
      </c>
      <c r="DW168" s="72">
        <f t="shared" ca="1" si="164"/>
        <v>-2.3602117729520089E-2</v>
      </c>
      <c r="DX168" s="37"/>
      <c r="DY168" s="35">
        <f t="shared" si="174"/>
        <v>8.4738158792574431E-2</v>
      </c>
      <c r="DZ168" s="56"/>
      <c r="EA168" s="56"/>
      <c r="EC168" s="2" t="e" vm="170">
        <v>#VALUE!</v>
      </c>
      <c r="EE168" s="10" cm="1">
        <f t="array" aca="1" ref="EE168" ca="1">_FV(EC168,"Ações em circulação",TRUE)</f>
        <v>105774800</v>
      </c>
      <c r="EF168" s="18">
        <f>VLOOKUP(BM168,Fundamentus!A:U,5,FALSE)</f>
        <v>0.36</v>
      </c>
      <c r="EG168" s="2">
        <f t="shared" ca="1" si="165"/>
        <v>1178213744.4444444</v>
      </c>
      <c r="EH168" s="17">
        <v>83653175.855555549</v>
      </c>
      <c r="EI168" s="17">
        <f t="shared" ca="1" si="166"/>
        <v>83653175.855555549</v>
      </c>
      <c r="EK168" s="16">
        <f t="shared" ca="1" si="153"/>
        <v>0</v>
      </c>
      <c r="EL168" s="32" t="str">
        <f>IF(VLOOKUP(BM168,Fundamentus!A:U,3,FALSE)&lt;15,"Bom",IF(VLOOKUP(BM168,Fundamentus!A:U,3,FALSE)&gt;15,"Ruim","n/a"))</f>
        <v>Bom</v>
      </c>
      <c r="EM168" s="28" t="str">
        <f>IF(VLOOKUP(BM168,Fundamentus!A:U,4,FALSE)&lt;1,"Baixo",IF(VLOOKUP(BM168,Fundamentus!A:U,4,FALSE)&lt;1.5,"Moderado",IF(VLOOKUP(BM168,Fundamentus!A:U,4,FALSE)&gt;1.5,"Alto","n/a")))</f>
        <v>Baixo</v>
      </c>
      <c r="EN168" s="17" t="str">
        <f>IF(VLOOKUP(BM168,Fundamentus!A:U,8,FALSE)&lt;0,"Risco elevado",IF(VLOOKUP(BM168,Fundamentus!A:U,8,FALSE)&lt;1,"Saudável",IF(VLOOKUP(BM168,Fundamentus!A:U,8,FALSE)&lt;3,"Estável",IF(VLOOKUP(BM168,Fundamentus!A:U,8,FALSE)&gt;3,"Alerta","n/a"))))</f>
        <v>Saudável</v>
      </c>
      <c r="EO168" s="28" t="str">
        <f t="shared" si="167"/>
        <v>Ruim</v>
      </c>
      <c r="EP168" s="17" t="str">
        <f>IF(VLOOKUP(BM168,Fundamentus!A:U,12,FALSE)&lt;2,"Subvalorizada",IF(VLOOKUP(BM168,Fundamentus!A:U,12,FALSE)&lt;6,"Muita barata",IF(VLOOKUP(BM168,Fundamentus!A:U,12,FALSE)&lt;6,"Barata",IF(VLOOKUP(BM168,Fundamentus!A:U,12,FALSE)&lt;8,"Atrativa",IF(VLOOKUP(BM168,Fundamentus!A:U,12,FALSE)&gt;8,"Supervalorizada","n/a")))))</f>
        <v>Atrativa</v>
      </c>
      <c r="ER168" s="17" t="str">
        <f>IF(VLOOKUP(BM168,Fundamentus!A:U,17,FALSE)&lt;0.1,"Fraco retorno",IF(VLOOKUP(BM168,Fundamentus!A:U,17,FALSE)&gt;0.1,"Bom retorno","n/a"))</f>
        <v>Fraco retorno</v>
      </c>
      <c r="ES168" s="17" t="str">
        <f>IF(VLOOKUP(BM168,Fundamentus!A:U,16,FALSE)&lt;0.1,"Ineficiente",IF(VLOOKUP(BM168,Fundamentus!A:U,16,FALSE)&gt;0.1,"Eficiente","n/a"))</f>
        <v>Ineficiente</v>
      </c>
      <c r="ET168" s="33" t="str">
        <f>IF(VLOOKUP(BM168,Fundamentus!A:U,16,FALSE)&lt;0.1,"Oper. Ineficiente",IF(VLOOKUP(BM168,Fundamentus!A:U,16,FALSE)&gt;0.1,"Oper.Eficiente","n/a"))</f>
        <v>Oper. Ineficiente</v>
      </c>
      <c r="EU168" s="34">
        <f>VLOOKUP(BM168,Fundamentus!A:U,14,FALSE)</f>
        <v>7.0999999999999994E-2</v>
      </c>
      <c r="EV168" s="17" t="str">
        <f>IF(VLOOKUP(BM168,Fundamentus!A:U,21,FALSE)&lt;0,"Negativo",IF(VLOOKUP(BM168,Fundamentus!A:U,21,FALSE)&lt;0.05,"Fraco",IF(VLOOKUP(BM168,Fundamentus!A:U,21,FALSE)&lt;0.1,"Bom",IF(VLOOKUP(BM168,Fundamentus!A:U,21,FALSE)&gt;0.1,"Muito bom","n/a"))))</f>
        <v>Muito bom</v>
      </c>
      <c r="EX168" s="29" t="str">
        <f>IF(VLOOKUP(BM168,Fundamentus!A:U,15,FALSE)&gt;1,"Bom",IF(VLOOKUP(BM168,Fundamentus!A:U,15,FALSE)&lt;1,"Ruim","n/a"))</f>
        <v>Bom</v>
      </c>
      <c r="EY168" s="17" t="str">
        <f>IF(VLOOKUP(BM168,Fundamentus!A:U,20,FALSE)&lt;0.5,"Baixa",IF(VLOOKUP(BM168,Fundamentus!A:U,20,FALSE)&lt;1,"Moderada",IF(VLOOKUP(BM168,Fundamentus!A:U,20,FALSE)&lt;2,"Alerta",IF(VLOOKUP(BM168,Fundamentus!A:U,20,FALSE)&gt;2,"Alta","n/a"))))</f>
        <v>Moderada</v>
      </c>
      <c r="EZ168" s="10"/>
    </row>
    <row r="169" spans="1:156" s="2" customFormat="1" ht="11.25" x14ac:dyDescent="0.2">
      <c r="A169" s="4">
        <v>34.25</v>
      </c>
      <c r="B169" s="4">
        <v>33.99</v>
      </c>
      <c r="C169" s="4">
        <v>39.56</v>
      </c>
      <c r="D169" s="4">
        <v>37.68</v>
      </c>
      <c r="E169" s="4">
        <v>36.229999999999997</v>
      </c>
      <c r="F169" s="4">
        <v>38.4</v>
      </c>
      <c r="G169" s="4">
        <v>37.33</v>
      </c>
      <c r="H169" s="4">
        <v>37.869999999999997</v>
      </c>
      <c r="I169" s="4">
        <v>36.159999999999997</v>
      </c>
      <c r="J169" s="4">
        <v>35.82</v>
      </c>
      <c r="K169" s="4">
        <v>40.25</v>
      </c>
      <c r="L169" s="4">
        <v>41.52</v>
      </c>
      <c r="M169" s="4">
        <v>41.52</v>
      </c>
      <c r="N169" s="4">
        <v>39.25</v>
      </c>
      <c r="O169" s="4">
        <v>43.25</v>
      </c>
      <c r="P169" s="4">
        <v>44.58</v>
      </c>
      <c r="Q169" s="4">
        <v>46.03</v>
      </c>
      <c r="R169" s="4">
        <v>46.83</v>
      </c>
      <c r="S169" s="4">
        <v>47.83</v>
      </c>
      <c r="T169" s="4">
        <v>51.93</v>
      </c>
      <c r="U169" s="4">
        <v>48.25</v>
      </c>
      <c r="V169" s="4">
        <v>48.27</v>
      </c>
      <c r="W169" s="4">
        <v>45.94</v>
      </c>
      <c r="X169" s="4">
        <v>45.37</v>
      </c>
      <c r="Y169" s="4">
        <v>49.15</v>
      </c>
      <c r="Z169" s="4">
        <v>49.56</v>
      </c>
      <c r="AA169" s="4">
        <v>48.47</v>
      </c>
      <c r="AB169" s="4">
        <v>53.79</v>
      </c>
      <c r="AC169" s="4">
        <v>55.42</v>
      </c>
      <c r="AD169" s="4">
        <v>56.9</v>
      </c>
      <c r="AE169" s="4">
        <v>58.13</v>
      </c>
      <c r="AF169" s="4">
        <v>57.32</v>
      </c>
      <c r="AG169" s="4">
        <v>55.44</v>
      </c>
      <c r="AH169" s="4">
        <v>55.55</v>
      </c>
      <c r="AI169" s="4">
        <v>56.33</v>
      </c>
      <c r="AJ169" s="4">
        <v>57.03</v>
      </c>
      <c r="AK169" s="4">
        <v>57.3</v>
      </c>
      <c r="AL169" s="4">
        <v>59.88</v>
      </c>
      <c r="AM169" s="4">
        <v>60.97</v>
      </c>
      <c r="AN169" s="4">
        <v>59.7</v>
      </c>
      <c r="AO169" s="4">
        <v>62.3</v>
      </c>
      <c r="AP169" s="4">
        <v>60.35</v>
      </c>
      <c r="AQ169" s="4">
        <v>58.98</v>
      </c>
      <c r="AR169" s="4">
        <v>69.72</v>
      </c>
      <c r="AS169" s="4">
        <v>73.680000000000007</v>
      </c>
      <c r="AT169" s="4">
        <v>74.88</v>
      </c>
      <c r="AU169" s="4">
        <v>74.61</v>
      </c>
      <c r="AV169" s="4">
        <v>66.36</v>
      </c>
      <c r="AW169" s="4">
        <v>60.01</v>
      </c>
      <c r="AX169" s="4">
        <v>60.71</v>
      </c>
      <c r="AY169" s="12">
        <v>63.15</v>
      </c>
      <c r="AZ169" s="12">
        <v>63.52</v>
      </c>
      <c r="BA169" s="12">
        <v>64.92</v>
      </c>
      <c r="BB169" s="15">
        <v>69.459999999999994</v>
      </c>
      <c r="BC169" s="52">
        <v>69.849999999999994</v>
      </c>
      <c r="BD169" s="52">
        <v>67.13</v>
      </c>
      <c r="BE169" s="52">
        <v>65.489999999999995</v>
      </c>
      <c r="BF169" s="52">
        <v>64.510000000000005</v>
      </c>
      <c r="BG169" s="67">
        <v>66.44</v>
      </c>
      <c r="BH169" s="52">
        <v>72.53</v>
      </c>
      <c r="BI169" s="52">
        <v>74.64</v>
      </c>
      <c r="BJ169" s="52">
        <v>83.49</v>
      </c>
      <c r="BK169" s="52">
        <v>74.319999999999993</v>
      </c>
      <c r="BL169" s="52" cm="1">
        <f t="array" aca="1" ref="BL169" ca="1">_FV(EC169,"Preço")</f>
        <v>74.319999999999993</v>
      </c>
      <c r="BM169" s="69" t="s">
        <v>165</v>
      </c>
      <c r="BN169" s="36" cm="1">
        <f t="array" aca="1" ref="BN169" ca="1">_FV(EC169,"Média de volume",TRUE)</f>
        <v>8741430</v>
      </c>
      <c r="BO169" s="36">
        <v>10689800</v>
      </c>
      <c r="BP169" s="36" cm="1">
        <f t="array" aca="1" ref="BP169" ca="1">_FV(EC169,"Volume")</f>
        <v>10689800</v>
      </c>
      <c r="BQ169" s="24" cm="1">
        <f t="array" aca="1" ref="BQ169" ca="1">_FV(EC169,"Beta")</f>
        <v>0.55430000000000001</v>
      </c>
      <c r="BR169" s="71" cm="1">
        <f t="array" aca="1" ref="BR169" ca="1">_FV(EC169,"Variação (%)",TRUE)</f>
        <v>-1.3277000000000001E-2</v>
      </c>
      <c r="BT169" s="17" cm="1">
        <f t="array" aca="1" ref="BT169" ca="1">_FV(EC169,"Baixo")</f>
        <v>72.900000000000006</v>
      </c>
      <c r="BU169" s="17" cm="1">
        <f t="array" aca="1" ref="BU169" ca="1">_FV(EC169,"Alto")</f>
        <v>75.37</v>
      </c>
      <c r="BV169" s="24"/>
      <c r="BW169" s="63">
        <f ca="1">SQRT(22.5*(BL169/VLOOKUP(BM169,Fundamentus!A:U,3,FALSE))*(BL169/VLOOKUP(BM169,Fundamentus!A:U,4,FALSE)))</f>
        <v>45.55732756528559</v>
      </c>
      <c r="BY169" s="62">
        <f t="shared" ca="1" si="168"/>
        <v>0</v>
      </c>
      <c r="BZ169" s="8"/>
      <c r="CA169" s="61">
        <f t="shared" si="169"/>
        <v>33.99</v>
      </c>
      <c r="CB169" s="61">
        <f t="shared" si="170"/>
        <v>83.49</v>
      </c>
      <c r="CC169" s="61">
        <f t="shared" si="171"/>
        <v>54.763492063492066</v>
      </c>
      <c r="CD169" s="14"/>
      <c r="CE169" s="35">
        <f t="shared" si="154"/>
        <v>64.597668127669365</v>
      </c>
      <c r="CF169" s="15">
        <f t="shared" si="172"/>
        <v>76.956000000000131</v>
      </c>
      <c r="CG169" s="35">
        <f t="shared" si="155"/>
        <v>89.314331872330897</v>
      </c>
      <c r="CI169" s="14"/>
      <c r="CJ169" s="17">
        <f t="shared" si="156"/>
        <v>0.99000000000000199</v>
      </c>
      <c r="CK169" s="17">
        <f t="shared" si="157"/>
        <v>17.490000000000002</v>
      </c>
      <c r="CL169" s="17">
        <f t="shared" si="158"/>
        <v>50.489999999999995</v>
      </c>
      <c r="CM169" s="38">
        <f t="shared" si="173"/>
        <v>66.989999999999995</v>
      </c>
      <c r="CN169" s="17">
        <f t="shared" si="159"/>
        <v>99.989999999999981</v>
      </c>
      <c r="CO169" s="17">
        <f t="shared" si="160"/>
        <v>116.48999999999998</v>
      </c>
      <c r="CP169" s="17">
        <f t="shared" si="161"/>
        <v>149.48999999999998</v>
      </c>
      <c r="CQ169" s="2" cm="1">
        <f t="array" aca="1" ref="CQ169" ca="1">MAX(_xlfn._xlws.FILTER(CJ169:CP169,CJ169:CP169&lt;BL169))</f>
        <v>66.989999999999995</v>
      </c>
      <c r="CR169" s="2" cm="1">
        <f t="array" aca="1" ref="CR169" ca="1">MIN(_xlfn._xlws.FILTER($CJ169:$CP169,$CJ169:$CP169&gt;BL169))</f>
        <v>99.989999999999981</v>
      </c>
      <c r="CS169" s="16">
        <f t="shared" ca="1" si="175"/>
        <v>0.49261083743842349</v>
      </c>
      <c r="CT169" s="20">
        <f t="shared" ca="1" si="176"/>
        <v>-0.24630541871921174</v>
      </c>
      <c r="CU169" s="20">
        <f t="shared" ca="1" si="177"/>
        <v>-0.16420361247947449</v>
      </c>
      <c r="CV169" s="20">
        <f t="shared" ca="1" si="178"/>
        <v>-9.8522167487684692E-2</v>
      </c>
      <c r="CW169" s="20">
        <f t="shared" ca="1" si="179"/>
        <v>-5.4734537493158167E-2</v>
      </c>
      <c r="CX169" s="20">
        <f t="shared" ca="1" si="180"/>
        <v>-2.8977108084613148E-2</v>
      </c>
      <c r="CY169" s="20">
        <f t="shared" ca="1" si="181"/>
        <v>-1.4927601134497681E-2</v>
      </c>
      <c r="CZ169" s="20">
        <f t="shared" ca="1" si="182"/>
        <v>-7.5786282682834384E-3</v>
      </c>
      <c r="DA169" s="21">
        <f t="shared" ca="1" si="183"/>
        <v>7.5786282682834384E-3</v>
      </c>
      <c r="DB169" s="21">
        <f t="shared" ca="1" si="184"/>
        <v>1.4927601134497681E-2</v>
      </c>
      <c r="DC169" s="21">
        <f t="shared" ca="1" si="185"/>
        <v>2.8977108084613148E-2</v>
      </c>
      <c r="DD169" s="21">
        <f t="shared" ca="1" si="186"/>
        <v>5.4734537493158167E-2</v>
      </c>
      <c r="DE169" s="21">
        <f t="shared" ca="1" si="187"/>
        <v>9.8522167487684692E-2</v>
      </c>
      <c r="DF169" s="21">
        <f t="shared" ca="1" si="188"/>
        <v>0.16420361247947449</v>
      </c>
      <c r="DG169" s="21">
        <f t="shared" ca="1" si="189"/>
        <v>0.24630541871921174</v>
      </c>
      <c r="DI169" s="16" cm="1">
        <f t="array" aca="1" ref="DI169" ca="1">MAX(_xlfn._xlws.FILTER(CT169:DG169,CT169:DG169&lt;BR169))</f>
        <v>-1.4927601134497681E-2</v>
      </c>
      <c r="DJ169" s="16" cm="1">
        <f t="array" aca="1" ref="DJ169" ca="1">MIN(_xlfn._xlws.FILTER(CT169:DG169,CT169:DG169&gt;BR169))</f>
        <v>-7.5786282682834384E-3</v>
      </c>
      <c r="DK169" s="2" cm="1">
        <f t="array" aca="1" ref="DK169" ca="1">_FV(EC169,"Fechamento anterior",TRUE)</f>
        <v>75.319999999999993</v>
      </c>
      <c r="DL169" s="28">
        <f t="shared" ca="1" si="162"/>
        <v>0.22464567843866468</v>
      </c>
      <c r="DM169" s="15">
        <f t="shared" ca="1" si="190"/>
        <v>74.195653082549626</v>
      </c>
      <c r="DN169" s="15">
        <f t="shared" ca="1" si="191"/>
        <v>74.749177718832883</v>
      </c>
      <c r="DO169" s="9"/>
      <c r="DP169" s="9"/>
      <c r="DQ169" s="9"/>
      <c r="DR169" s="89">
        <v>2.3131728768278705E-2</v>
      </c>
      <c r="DS169" s="89">
        <v>2.1874229888939948E-2</v>
      </c>
      <c r="DT169" s="89">
        <v>1.5157256536566877E-2</v>
      </c>
      <c r="DU169" s="89">
        <v>7.3489728662142423E-3</v>
      </c>
      <c r="DV169" s="89">
        <f t="shared" ca="1" si="163"/>
        <v>7.3489728662142423E-3</v>
      </c>
      <c r="DW169" s="72">
        <f t="shared" ca="1" si="164"/>
        <v>-0.21329739541158571</v>
      </c>
      <c r="DX169" s="37"/>
      <c r="DY169" s="35">
        <f t="shared" si="174"/>
        <v>6.1791659361653846</v>
      </c>
      <c r="DZ169" s="56"/>
      <c r="EA169" s="56"/>
      <c r="EC169" s="2" t="e" vm="171">
        <v>#VALUE!</v>
      </c>
      <c r="EE169" s="10" cm="1">
        <f t="array" aca="1" ref="EE169" ca="1">_FV(EC169,"Ações em circulação",TRUE)</f>
        <v>740465000</v>
      </c>
      <c r="EF169" s="18">
        <f>VLOOKUP(BM169,Fundamentus!A:U,5,FALSE)</f>
        <v>1.3160000000000001</v>
      </c>
      <c r="EG169" s="2">
        <f t="shared" ca="1" si="165"/>
        <v>41817141945.28875</v>
      </c>
      <c r="EH169" s="17">
        <v>2496483374.1337385</v>
      </c>
      <c r="EI169" s="17">
        <f t="shared" ca="1" si="166"/>
        <v>2496483374.1337385</v>
      </c>
      <c r="EK169" s="16">
        <f t="shared" ca="1" si="153"/>
        <v>0</v>
      </c>
      <c r="EL169" s="32" t="str">
        <f>IF(VLOOKUP(BM169,Fundamentus!A:U,3,FALSE)&lt;15,"Bom",IF(VLOOKUP(BM169,Fundamentus!A:U,3,FALSE)&gt;15,"Ruim","n/a"))</f>
        <v>Ruim</v>
      </c>
      <c r="EM169" s="28" t="str">
        <f>IF(VLOOKUP(BM169,Fundamentus!A:U,4,FALSE)&lt;1,"Baixo",IF(VLOOKUP(BM169,Fundamentus!A:U,4,FALSE)&lt;1.5,"Moderado",IF(VLOOKUP(BM169,Fundamentus!A:U,4,FALSE)&gt;1.5,"Alto","n/a")))</f>
        <v>Alto</v>
      </c>
      <c r="EN169" s="17" t="str">
        <f>IF(VLOOKUP(BM169,Fundamentus!A:U,8,FALSE)&lt;0,"Risco elevado",IF(VLOOKUP(BM169,Fundamentus!A:U,8,FALSE)&lt;1,"Saudável",IF(VLOOKUP(BM169,Fundamentus!A:U,8,FALSE)&lt;3,"Estável",IF(VLOOKUP(BM169,Fundamentus!A:U,8,FALSE)&gt;3,"Alerta","n/a"))))</f>
        <v>Alerta</v>
      </c>
      <c r="EO169" s="28" t="str">
        <f t="shared" si="167"/>
        <v>Bom</v>
      </c>
      <c r="EP169" s="17" t="str">
        <f>IF(VLOOKUP(BM169,Fundamentus!A:U,12,FALSE)&lt;2,"Subvalorizada",IF(VLOOKUP(BM169,Fundamentus!A:U,12,FALSE)&lt;6,"Muita barata",IF(VLOOKUP(BM169,Fundamentus!A:U,12,FALSE)&lt;6,"Barata",IF(VLOOKUP(BM169,Fundamentus!A:U,12,FALSE)&lt;8,"Atrativa",IF(VLOOKUP(BM169,Fundamentus!A:U,12,FALSE)&gt;8,"Supervalorizada","n/a")))))</f>
        <v>Supervalorizada</v>
      </c>
      <c r="ER169" s="17" t="str">
        <f>IF(VLOOKUP(BM169,Fundamentus!A:U,17,FALSE)&lt;0.1,"Fraco retorno",IF(VLOOKUP(BM169,Fundamentus!A:U,17,FALSE)&gt;0.1,"Bom retorno","n/a"))</f>
        <v>Bom retorno</v>
      </c>
      <c r="ES169" s="17" t="str">
        <f>IF(VLOOKUP(BM169,Fundamentus!A:U,16,FALSE)&lt;0.1,"Ineficiente",IF(VLOOKUP(BM169,Fundamentus!A:U,16,FALSE)&gt;0.1,"Eficiente","n/a"))</f>
        <v>Ineficiente</v>
      </c>
      <c r="ET169" s="33" t="str">
        <f>IF(VLOOKUP(BM169,Fundamentus!A:U,16,FALSE)&lt;0.1,"Oper. Ineficiente",IF(VLOOKUP(BM169,Fundamentus!A:U,16,FALSE)&gt;0.1,"Oper.Eficiente","n/a"))</f>
        <v>Oper. Ineficiente</v>
      </c>
      <c r="EU169" s="34">
        <f>VLOOKUP(BM169,Fundamentus!A:U,14,FALSE)</f>
        <v>5.9700000000000003E-2</v>
      </c>
      <c r="EV169" s="17" t="str">
        <f>IF(VLOOKUP(BM169,Fundamentus!A:U,21,FALSE)&lt;0,"Negativo",IF(VLOOKUP(BM169,Fundamentus!A:U,21,FALSE)&lt;0.05,"Fraco",IF(VLOOKUP(BM169,Fundamentus!A:U,21,FALSE)&lt;0.1,"Bom",IF(VLOOKUP(BM169,Fundamentus!A:U,21,FALSE)&gt;0.1,"Muito bom","n/a"))))</f>
        <v>Muito bom</v>
      </c>
      <c r="EX169" s="29" t="str">
        <f>IF(VLOOKUP(BM169,Fundamentus!A:U,15,FALSE)&gt;1,"Bom",IF(VLOOKUP(BM169,Fundamentus!A:U,15,FALSE)&lt;1,"Ruim","n/a"))</f>
        <v>Bom</v>
      </c>
      <c r="EY169" s="17" t="str">
        <f>IF(VLOOKUP(BM169,Fundamentus!A:U,20,FALSE)&lt;0.5,"Baixa",IF(VLOOKUP(BM169,Fundamentus!A:U,20,FALSE)&lt;1,"Moderada",IF(VLOOKUP(BM169,Fundamentus!A:U,20,FALSE)&lt;2,"Alerta",IF(VLOOKUP(BM169,Fundamentus!A:U,20,FALSE)&gt;2,"Alta","n/a"))))</f>
        <v>Moderada</v>
      </c>
      <c r="EZ169" s="10"/>
    </row>
    <row r="170" spans="1:156" s="2" customFormat="1" ht="11.25" x14ac:dyDescent="0.2">
      <c r="A170" s="4">
        <v>8.0500000000000007</v>
      </c>
      <c r="B170" s="4">
        <v>8.02</v>
      </c>
      <c r="C170" s="4">
        <v>8.0299999999999994</v>
      </c>
      <c r="D170" s="4">
        <v>7.91</v>
      </c>
      <c r="E170" s="4">
        <v>7.79</v>
      </c>
      <c r="F170" s="4">
        <v>7.93</v>
      </c>
      <c r="G170" s="4">
        <v>7.86</v>
      </c>
      <c r="H170" s="4">
        <v>7.82</v>
      </c>
      <c r="I170" s="4">
        <v>7.82</v>
      </c>
      <c r="J170" s="4">
        <v>7.86</v>
      </c>
      <c r="K170" s="4">
        <v>8.3699999999999992</v>
      </c>
      <c r="L170" s="4">
        <v>7.95</v>
      </c>
      <c r="M170" s="4">
        <v>7.68</v>
      </c>
      <c r="N170" s="4">
        <v>8.0299999999999994</v>
      </c>
      <c r="O170" s="4">
        <v>8.25</v>
      </c>
      <c r="P170" s="4">
        <v>8.4499999999999993</v>
      </c>
      <c r="Q170" s="4">
        <v>8.5500000000000007</v>
      </c>
      <c r="R170" s="4">
        <v>8.14</v>
      </c>
      <c r="S170" s="4">
        <v>8.36</v>
      </c>
      <c r="T170" s="4">
        <v>8.49</v>
      </c>
      <c r="U170" s="4">
        <v>8.06</v>
      </c>
      <c r="V170" s="4">
        <v>7.94</v>
      </c>
      <c r="W170" s="4">
        <v>7.68</v>
      </c>
      <c r="X170" s="4">
        <v>7.58</v>
      </c>
      <c r="Y170" s="4">
        <v>7.53</v>
      </c>
      <c r="Z170" s="4">
        <v>7.58</v>
      </c>
      <c r="AA170" s="4">
        <v>7.31</v>
      </c>
      <c r="AB170" s="4">
        <v>7.39</v>
      </c>
      <c r="AC170" s="4">
        <v>7.21</v>
      </c>
      <c r="AD170" s="4">
        <v>7.33</v>
      </c>
      <c r="AE170" s="4">
        <v>7.16</v>
      </c>
      <c r="AF170" s="4">
        <v>7.05</v>
      </c>
      <c r="AG170" s="4">
        <v>6.86</v>
      </c>
      <c r="AH170" s="4">
        <v>6.98</v>
      </c>
      <c r="AI170" s="4">
        <v>6.57</v>
      </c>
      <c r="AJ170" s="4">
        <v>6.34</v>
      </c>
      <c r="AK170" s="4">
        <v>6.62</v>
      </c>
      <c r="AL170" s="4">
        <v>6.52</v>
      </c>
      <c r="AM170" s="4">
        <v>6.62</v>
      </c>
      <c r="AN170" s="4">
        <v>6.97</v>
      </c>
      <c r="AO170" s="4">
        <v>7.15</v>
      </c>
      <c r="AP170" s="4">
        <v>7.3</v>
      </c>
      <c r="AQ170" s="4">
        <v>7.26</v>
      </c>
      <c r="AR170" s="4">
        <v>6.79</v>
      </c>
      <c r="AS170" s="4">
        <v>6.87</v>
      </c>
      <c r="AT170" s="4">
        <v>7.18</v>
      </c>
      <c r="AU170" s="4">
        <v>7.5299999999999994</v>
      </c>
      <c r="AV170" s="4">
        <v>7.24</v>
      </c>
      <c r="AW170" s="4">
        <v>7.44</v>
      </c>
      <c r="AX170" s="4">
        <v>7.47</v>
      </c>
      <c r="AY170" s="12">
        <v>7.69</v>
      </c>
      <c r="AZ170" s="12">
        <v>8.1300000000000008</v>
      </c>
      <c r="BA170" s="12">
        <v>8.43</v>
      </c>
      <c r="BB170" s="15">
        <v>8.5399999999999991</v>
      </c>
      <c r="BC170" s="52">
        <v>8.41</v>
      </c>
      <c r="BD170" s="52">
        <v>8.69</v>
      </c>
      <c r="BE170" s="52">
        <v>8.89</v>
      </c>
      <c r="BF170" s="52">
        <v>8.64</v>
      </c>
      <c r="BG170" s="67">
        <v>8.52</v>
      </c>
      <c r="BH170" s="52">
        <v>8.69</v>
      </c>
      <c r="BI170" s="52">
        <v>8.86</v>
      </c>
      <c r="BJ170" s="52">
        <v>9.19</v>
      </c>
      <c r="BK170" s="52">
        <v>8.7200000000000006</v>
      </c>
      <c r="BL170" s="52" cm="1">
        <f t="array" aca="1" ref="BL170" ca="1">_FV(EC170,"Preço")</f>
        <v>8.7200000000000006</v>
      </c>
      <c r="BM170" s="69" t="s">
        <v>166</v>
      </c>
      <c r="BN170" s="36" cm="1">
        <f t="array" aca="1" ref="BN170" ca="1">_FV(EC170,"Média de volume",TRUE)</f>
        <v>6900</v>
      </c>
      <c r="BO170" s="36">
        <v>2800</v>
      </c>
      <c r="BP170" s="36" cm="1">
        <f t="array" aca="1" ref="BP170" ca="1">_FV(EC170,"Volume")</f>
        <v>2800</v>
      </c>
      <c r="BQ170" s="24" cm="1">
        <f t="array" aca="1" ref="BQ170" ca="1">_FV(EC170,"Beta")</f>
        <v>0.98850000000000005</v>
      </c>
      <c r="BR170" s="71" cm="1">
        <f t="array" aca="1" ref="BR170" ca="1">_FV(EC170,"Variação (%)",TRUE)</f>
        <v>-9.0910000000000001E-3</v>
      </c>
      <c r="BT170" s="17" cm="1">
        <f t="array" aca="1" ref="BT170" ca="1">_FV(EC170,"Baixo")</f>
        <v>8.68</v>
      </c>
      <c r="BU170" s="17" cm="1">
        <f t="array" aca="1" ref="BU170" ca="1">_FV(EC170,"Alto")</f>
        <v>8.8000000000000007</v>
      </c>
      <c r="BV170" s="24"/>
      <c r="BW170" s="63">
        <f ca="1">SQRT(22.5*(BL170/VLOOKUP(BM170,Fundamentus!A:U,3,FALSE))*(BL170/VLOOKUP(BM170,Fundamentus!A:U,4,FALSE)))</f>
        <v>17.255996741970524</v>
      </c>
      <c r="BY170" s="62">
        <f t="shared" ca="1" si="168"/>
        <v>0</v>
      </c>
      <c r="BZ170" s="8"/>
      <c r="CA170" s="61">
        <f t="shared" si="169"/>
        <v>6.34</v>
      </c>
      <c r="CB170" s="61">
        <f t="shared" si="170"/>
        <v>9.19</v>
      </c>
      <c r="CC170" s="61">
        <f t="shared" si="171"/>
        <v>7.7506349206349228</v>
      </c>
      <c r="CD170" s="14"/>
      <c r="CE170" s="35">
        <f t="shared" si="154"/>
        <v>8.4595417175541723</v>
      </c>
      <c r="CF170" s="15">
        <f t="shared" si="172"/>
        <v>8.8860000000000241</v>
      </c>
      <c r="CG170" s="35">
        <f t="shared" si="155"/>
        <v>9.3124582824458759</v>
      </c>
      <c r="CI170" s="14"/>
      <c r="CJ170" s="17">
        <f t="shared" si="156"/>
        <v>4.4400000000000013</v>
      </c>
      <c r="CK170" s="17">
        <f t="shared" si="157"/>
        <v>5.3900000000000006</v>
      </c>
      <c r="CL170" s="17">
        <f t="shared" si="158"/>
        <v>7.2900000000000009</v>
      </c>
      <c r="CM170" s="38">
        <f t="shared" si="173"/>
        <v>8.24</v>
      </c>
      <c r="CN170" s="17">
        <f t="shared" si="159"/>
        <v>10.14</v>
      </c>
      <c r="CO170" s="17">
        <f t="shared" si="160"/>
        <v>11.09</v>
      </c>
      <c r="CP170" s="17">
        <f t="shared" si="161"/>
        <v>12.99</v>
      </c>
      <c r="CQ170" s="2" cm="1">
        <f t="array" aca="1" ref="CQ170" ca="1">MAX(_xlfn._xlws.FILTER(CJ170:CP170,CJ170:CP170&lt;BL170))</f>
        <v>8.24</v>
      </c>
      <c r="CR170" s="2" cm="1">
        <f t="array" aca="1" ref="CR170" ca="1">MIN(_xlfn._xlws.FILTER($CJ170:$CP170,$CJ170:$CP170&gt;BL170))</f>
        <v>10.14</v>
      </c>
      <c r="CS170" s="16">
        <f t="shared" ca="1" si="175"/>
        <v>0.23058252427184467</v>
      </c>
      <c r="CT170" s="20">
        <f t="shared" ca="1" si="176"/>
        <v>-0.11529126213592233</v>
      </c>
      <c r="CU170" s="20">
        <f t="shared" ca="1" si="177"/>
        <v>-7.6860841423948223E-2</v>
      </c>
      <c r="CV170" s="20">
        <f t="shared" ca="1" si="178"/>
        <v>-4.6116504854368932E-2</v>
      </c>
      <c r="CW170" s="20">
        <f t="shared" ca="1" si="179"/>
        <v>-2.5620280474649409E-2</v>
      </c>
      <c r="CX170" s="20">
        <f t="shared" ca="1" si="180"/>
        <v>-1.3563677898343804E-2</v>
      </c>
      <c r="CY170" s="20">
        <f t="shared" ca="1" si="181"/>
        <v>-6.9873492203589294E-3</v>
      </c>
      <c r="CZ170" s="20">
        <f t="shared" ca="1" si="182"/>
        <v>-3.5474234503360719E-3</v>
      </c>
      <c r="DA170" s="21">
        <f t="shared" ca="1" si="183"/>
        <v>3.5474234503360719E-3</v>
      </c>
      <c r="DB170" s="21">
        <f t="shared" ca="1" si="184"/>
        <v>6.9873492203589294E-3</v>
      </c>
      <c r="DC170" s="21">
        <f t="shared" ca="1" si="185"/>
        <v>1.3563677898343804E-2</v>
      </c>
      <c r="DD170" s="21">
        <f t="shared" ca="1" si="186"/>
        <v>2.5620280474649409E-2</v>
      </c>
      <c r="DE170" s="21">
        <f t="shared" ca="1" si="187"/>
        <v>4.6116504854368932E-2</v>
      </c>
      <c r="DF170" s="21">
        <f t="shared" ca="1" si="188"/>
        <v>7.6860841423948223E-2</v>
      </c>
      <c r="DG170" s="21">
        <f t="shared" ca="1" si="189"/>
        <v>0.11529126213592233</v>
      </c>
      <c r="DI170" s="16" cm="1">
        <f t="array" aca="1" ref="DI170" ca="1">MAX(_xlfn._xlws.FILTER(CT170:DG170,CT170:DG170&lt;BR170))</f>
        <v>-1.3563677898343804E-2</v>
      </c>
      <c r="DJ170" s="16" cm="1">
        <f t="array" aca="1" ref="DJ170" ca="1">MIN(_xlfn._xlws.FILTER(CT170:DG170,CT170:DG170&gt;BR170))</f>
        <v>-6.9873492203589294E-3</v>
      </c>
      <c r="DK170" s="2" cm="1">
        <f t="array" aca="1" ref="DK170" ca="1">_FV(EC170,"Fechamento anterior",TRUE)</f>
        <v>8.8000000000000007</v>
      </c>
      <c r="DL170" s="28">
        <f t="shared" ca="1" si="162"/>
        <v>0.68013157894737508</v>
      </c>
      <c r="DM170" s="15">
        <f t="shared" ca="1" si="190"/>
        <v>8.6806396344945753</v>
      </c>
      <c r="DN170" s="15">
        <f t="shared" ca="1" si="191"/>
        <v>8.7385113268608414</v>
      </c>
      <c r="DO170" s="9"/>
      <c r="DP170" s="9"/>
      <c r="DQ170" s="9"/>
      <c r="DR170" s="89">
        <v>1.6265750286368844E-2</v>
      </c>
      <c r="DS170" s="89">
        <v>6.1279352226720676E-3</v>
      </c>
      <c r="DT170" s="89">
        <v>1.2056602576305605E-2</v>
      </c>
      <c r="DU170" s="89">
        <v>6.5763286779848742E-3</v>
      </c>
      <c r="DV170" s="89">
        <f t="shared" ca="1" si="163"/>
        <v>6.5763286779848742E-3</v>
      </c>
      <c r="DW170" s="72">
        <f t="shared" ca="1" si="164"/>
        <v>-0.38925261117680549</v>
      </c>
      <c r="DX170" s="37"/>
      <c r="DY170" s="35">
        <f t="shared" si="174"/>
        <v>0.21322914122292616</v>
      </c>
      <c r="DZ170" s="56"/>
      <c r="EA170" s="56"/>
      <c r="EC170" s="2" t="e" vm="172">
        <v>#VALUE!</v>
      </c>
      <c r="EE170" s="10" cm="1">
        <f t="array" aca="1" ref="EE170" ca="1">_FV(EC170,"Ações em circulação",TRUE)</f>
        <v>2289425000</v>
      </c>
      <c r="EF170" s="18">
        <f>VLOOKUP(BM170,Fundamentus!A:U,5,FALSE)</f>
        <v>0.57099999999999995</v>
      </c>
      <c r="EG170" s="2">
        <f t="shared" ca="1" si="165"/>
        <v>34962847635.726799</v>
      </c>
      <c r="EH170" s="17">
        <v>4636073596.4973736</v>
      </c>
      <c r="EI170" s="17">
        <f t="shared" ca="1" si="166"/>
        <v>4636073596.4973736</v>
      </c>
      <c r="EK170" s="16">
        <f t="shared" ca="1" si="153"/>
        <v>0</v>
      </c>
      <c r="EL170" s="32" t="str">
        <f>IF(VLOOKUP(BM170,Fundamentus!A:U,3,FALSE)&lt;15,"Bom",IF(VLOOKUP(BM170,Fundamentus!A:U,3,FALSE)&gt;15,"Ruim","n/a"))</f>
        <v>Bom</v>
      </c>
      <c r="EM170" s="28" t="str">
        <f>IF(VLOOKUP(BM170,Fundamentus!A:U,4,FALSE)&lt;1,"Baixo",IF(VLOOKUP(BM170,Fundamentus!A:U,4,FALSE)&lt;1.5,"Moderado",IF(VLOOKUP(BM170,Fundamentus!A:U,4,FALSE)&gt;1.5,"Alto","n/a")))</f>
        <v>Moderado</v>
      </c>
      <c r="EN170" s="17" t="str">
        <f>IF(VLOOKUP(BM170,Fundamentus!A:U,8,FALSE)&lt;0,"Risco elevado",IF(VLOOKUP(BM170,Fundamentus!A:U,8,FALSE)&lt;1,"Saudável",IF(VLOOKUP(BM170,Fundamentus!A:U,8,FALSE)&lt;3,"Estável",IF(VLOOKUP(BM170,Fundamentus!A:U,8,FALSE)&gt;3,"Alerta","n/a"))))</f>
        <v>Alerta</v>
      </c>
      <c r="EO170" s="28" t="str">
        <f t="shared" si="167"/>
        <v>Ruim</v>
      </c>
      <c r="EP170" s="17" t="str">
        <f>IF(VLOOKUP(BM170,Fundamentus!A:U,12,FALSE)&lt;2,"Subvalorizada",IF(VLOOKUP(BM170,Fundamentus!A:U,12,FALSE)&lt;6,"Muita barata",IF(VLOOKUP(BM170,Fundamentus!A:U,12,FALSE)&lt;6,"Barata",IF(VLOOKUP(BM170,Fundamentus!A:U,12,FALSE)&lt;8,"Atrativa",IF(VLOOKUP(BM170,Fundamentus!A:U,12,FALSE)&gt;8,"Supervalorizada","n/a")))))</f>
        <v>Muita barata</v>
      </c>
      <c r="ER170" s="17" t="str">
        <f>IF(VLOOKUP(BM170,Fundamentus!A:U,17,FALSE)&lt;0.1,"Fraco retorno",IF(VLOOKUP(BM170,Fundamentus!A:U,17,FALSE)&gt;0.1,"Bom retorno","n/a"))</f>
        <v>Bom retorno</v>
      </c>
      <c r="ES170" s="17" t="str">
        <f>IF(VLOOKUP(BM170,Fundamentus!A:U,16,FALSE)&lt;0.1,"Ineficiente",IF(VLOOKUP(BM170,Fundamentus!A:U,16,FALSE)&gt;0.1,"Eficiente","n/a"))</f>
        <v>Ineficiente</v>
      </c>
      <c r="ET170" s="33" t="str">
        <f>IF(VLOOKUP(BM170,Fundamentus!A:U,16,FALSE)&lt;0.1,"Oper. Ineficiente",IF(VLOOKUP(BM170,Fundamentus!A:U,16,FALSE)&gt;0.1,"Oper.Eficiente","n/a"))</f>
        <v>Oper. Ineficiente</v>
      </c>
      <c r="EU170" s="34">
        <f>VLOOKUP(BM170,Fundamentus!A:U,14,FALSE)</f>
        <v>0.1326</v>
      </c>
      <c r="EV170" s="17" t="str">
        <f>IF(VLOOKUP(BM170,Fundamentus!A:U,21,FALSE)&lt;0,"Negativo",IF(VLOOKUP(BM170,Fundamentus!A:U,21,FALSE)&lt;0.05,"Fraco",IF(VLOOKUP(BM170,Fundamentus!A:U,21,FALSE)&lt;0.1,"Bom",IF(VLOOKUP(BM170,Fundamentus!A:U,21,FALSE)&gt;0.1,"Muito bom","n/a"))))</f>
        <v>Muito bom</v>
      </c>
      <c r="EX170" s="29" t="str">
        <f>IF(VLOOKUP(BM170,Fundamentus!A:U,15,FALSE)&gt;1,"Bom",IF(VLOOKUP(BM170,Fundamentus!A:U,15,FALSE)&lt;1,"Ruim","n/a"))</f>
        <v>Bom</v>
      </c>
      <c r="EY170" s="17" t="str">
        <f>IF(VLOOKUP(BM170,Fundamentus!A:U,20,FALSE)&lt;0.5,"Baixa",IF(VLOOKUP(BM170,Fundamentus!A:U,20,FALSE)&lt;1,"Moderada",IF(VLOOKUP(BM170,Fundamentus!A:U,20,FALSE)&lt;2,"Alerta",IF(VLOOKUP(BM170,Fundamentus!A:U,20,FALSE)&gt;2,"Alta","n/a"))))</f>
        <v>Alta</v>
      </c>
      <c r="EZ170" s="10"/>
    </row>
    <row r="171" spans="1:156" s="2" customFormat="1" ht="11.25" x14ac:dyDescent="0.2">
      <c r="A171" s="4">
        <v>3.8</v>
      </c>
      <c r="B171" s="4">
        <v>3.64</v>
      </c>
      <c r="C171" s="4">
        <v>3.98</v>
      </c>
      <c r="D171" s="4">
        <v>3.77</v>
      </c>
      <c r="E171" s="4">
        <v>3.47</v>
      </c>
      <c r="F171" s="4">
        <v>3.45</v>
      </c>
      <c r="G171" s="4">
        <v>3.26</v>
      </c>
      <c r="H171" s="4">
        <v>3.1</v>
      </c>
      <c r="I171" s="4">
        <v>3.15</v>
      </c>
      <c r="J171" s="4">
        <v>3.61</v>
      </c>
      <c r="K171" s="4">
        <v>3.88</v>
      </c>
      <c r="L171" s="4">
        <v>3.48</v>
      </c>
      <c r="M171" s="4">
        <v>3.49</v>
      </c>
      <c r="N171" s="4">
        <v>3.54</v>
      </c>
      <c r="O171" s="4">
        <v>3.7</v>
      </c>
      <c r="P171" s="4">
        <v>3.5</v>
      </c>
      <c r="Q171" s="4">
        <v>3.45</v>
      </c>
      <c r="R171" s="4">
        <v>3.28</v>
      </c>
      <c r="S171" s="4">
        <v>3.26</v>
      </c>
      <c r="T171" s="4">
        <v>3.17</v>
      </c>
      <c r="U171" s="4">
        <v>2.76</v>
      </c>
      <c r="V171" s="4">
        <v>2.41</v>
      </c>
      <c r="W171" s="4">
        <v>2.41</v>
      </c>
      <c r="X171" s="4">
        <v>2.31</v>
      </c>
      <c r="Y171" s="4">
        <v>2.42</v>
      </c>
      <c r="Z171" s="4">
        <v>2.5499999999999998</v>
      </c>
      <c r="AA171" s="4">
        <v>2.3199999999999998</v>
      </c>
      <c r="AB171" s="4">
        <v>2.36</v>
      </c>
      <c r="AC171" s="4">
        <v>2.3199999999999998</v>
      </c>
      <c r="AD171" s="4">
        <v>2.4300000000000002</v>
      </c>
      <c r="AE171" s="4">
        <v>2.14</v>
      </c>
      <c r="AF171" s="4">
        <v>1.97</v>
      </c>
      <c r="AG171" s="4">
        <v>1.91</v>
      </c>
      <c r="AH171" s="4">
        <v>1.62</v>
      </c>
      <c r="AI171" s="4">
        <v>1.58</v>
      </c>
      <c r="AJ171" s="4">
        <v>1.53</v>
      </c>
      <c r="AK171" s="4">
        <v>1.55</v>
      </c>
      <c r="AL171" s="4">
        <v>1.63</v>
      </c>
      <c r="AM171" s="4">
        <v>1.85</v>
      </c>
      <c r="AN171" s="4">
        <v>2.06</v>
      </c>
      <c r="AO171" s="4">
        <v>1.93</v>
      </c>
      <c r="AP171" s="4">
        <v>2.2200000000000002</v>
      </c>
      <c r="AQ171" s="4">
        <v>2.14</v>
      </c>
      <c r="AR171" s="4">
        <v>1.69</v>
      </c>
      <c r="AS171" s="4">
        <v>1.85</v>
      </c>
      <c r="AT171" s="4">
        <v>2.09</v>
      </c>
      <c r="AU171" s="4">
        <v>2.1949999999999998</v>
      </c>
      <c r="AV171" s="4">
        <v>2.5</v>
      </c>
      <c r="AW171" s="4">
        <v>2.36</v>
      </c>
      <c r="AX171" s="4">
        <v>2.5299999999999998</v>
      </c>
      <c r="AY171" s="12">
        <v>3.1</v>
      </c>
      <c r="AZ171" s="12">
        <v>3.04</v>
      </c>
      <c r="BA171" s="12">
        <v>3.19</v>
      </c>
      <c r="BB171" s="15">
        <v>3.52</v>
      </c>
      <c r="BC171" s="52">
        <v>4.29</v>
      </c>
      <c r="BD171" s="52">
        <v>3.95</v>
      </c>
      <c r="BE171" s="52">
        <v>4.25</v>
      </c>
      <c r="BF171" s="52">
        <v>3.95</v>
      </c>
      <c r="BG171" s="67">
        <v>4.03</v>
      </c>
      <c r="BH171" s="52">
        <v>4.0599999999999996</v>
      </c>
      <c r="BI171" s="52">
        <v>4.1500000000000004</v>
      </c>
      <c r="BJ171" s="52">
        <v>4.4000000000000004</v>
      </c>
      <c r="BK171" s="52">
        <v>3.8</v>
      </c>
      <c r="BL171" s="52" cm="1">
        <f t="array" aca="1" ref="BL171" ca="1">_FV(EC171,"Preço")</f>
        <v>3.8</v>
      </c>
      <c r="BM171" s="69" t="s">
        <v>167</v>
      </c>
      <c r="BN171" s="36" cm="1">
        <f t="array" aca="1" ref="BN171" ca="1">_FV(EC171,"Média de volume",TRUE)</f>
        <v>4506530</v>
      </c>
      <c r="BO171" s="36">
        <v>11183500</v>
      </c>
      <c r="BP171" s="36" cm="1">
        <f t="array" aca="1" ref="BP171" ca="1">_FV(EC171,"Volume")</f>
        <v>11183500</v>
      </c>
      <c r="BQ171" s="24" cm="1">
        <f t="array" aca="1" ref="BQ171" ca="1">_FV(EC171,"Beta")</f>
        <v>2.8544999999999998</v>
      </c>
      <c r="BR171" s="71" cm="1">
        <f t="array" aca="1" ref="BR171" ca="1">_FV(EC171,"Variação (%)",TRUE)</f>
        <v>-6.8627000000000007E-2</v>
      </c>
      <c r="BT171" s="17" cm="1">
        <f t="array" aca="1" ref="BT171" ca="1">_FV(EC171,"Baixo")</f>
        <v>3.78</v>
      </c>
      <c r="BU171" s="17" cm="1">
        <f t="array" aca="1" ref="BU171" ca="1">_FV(EC171,"Alto")</f>
        <v>4.07</v>
      </c>
      <c r="BV171" s="24"/>
      <c r="BW171" s="63">
        <f ca="1">SQRT(22.5*(BL171/VLOOKUP(BM171,Fundamentus!A:U,3,FALSE))*(BL171/VLOOKUP(BM171,Fundamentus!A:U,4,FALSE)))</f>
        <v>5.801515448769857</v>
      </c>
      <c r="BY171" s="62">
        <f t="shared" ca="1" si="168"/>
        <v>0</v>
      </c>
      <c r="BZ171" s="8"/>
      <c r="CA171" s="61">
        <f t="shared" si="169"/>
        <v>1.53</v>
      </c>
      <c r="CB171" s="61">
        <f t="shared" si="170"/>
        <v>4.4000000000000004</v>
      </c>
      <c r="CC171" s="61">
        <f t="shared" si="171"/>
        <v>2.9102380952380948</v>
      </c>
      <c r="CD171" s="14"/>
      <c r="CE171" s="35">
        <f t="shared" si="154"/>
        <v>3.7070826650860873</v>
      </c>
      <c r="CF171" s="15">
        <f t="shared" si="172"/>
        <v>4.0760000000000218</v>
      </c>
      <c r="CG171" s="35">
        <f t="shared" si="155"/>
        <v>4.4449173349139564</v>
      </c>
      <c r="CI171" s="14"/>
      <c r="CJ171" s="17">
        <f t="shared" si="156"/>
        <v>-0.38333333333333308</v>
      </c>
      <c r="CK171" s="17">
        <f t="shared" si="157"/>
        <v>0.57333333333333369</v>
      </c>
      <c r="CL171" s="17">
        <f t="shared" si="158"/>
        <v>2.4866666666666672</v>
      </c>
      <c r="CM171" s="38">
        <f t="shared" si="173"/>
        <v>3.4433333333333338</v>
      </c>
      <c r="CN171" s="17">
        <f t="shared" si="159"/>
        <v>5.3566666666666674</v>
      </c>
      <c r="CO171" s="17">
        <f t="shared" si="160"/>
        <v>6.3133333333333344</v>
      </c>
      <c r="CP171" s="17">
        <f t="shared" si="161"/>
        <v>8.2266666666666683</v>
      </c>
      <c r="CQ171" s="2" cm="1">
        <f t="array" aca="1" ref="CQ171" ca="1">MAX(_xlfn._xlws.FILTER(CJ171:CP171,CJ171:CP171&lt;BL171))</f>
        <v>3.4433333333333338</v>
      </c>
      <c r="CR171" s="2" cm="1">
        <f t="array" aca="1" ref="CR171" ca="1">MIN(_xlfn._xlws.FILTER($CJ171:$CP171,$CJ171:$CP171&gt;BL171))</f>
        <v>5.3566666666666674</v>
      </c>
      <c r="CS171" s="16">
        <f t="shared" ca="1" si="175"/>
        <v>0.55566311713455963</v>
      </c>
      <c r="CT171" s="20">
        <f t="shared" ca="1" si="176"/>
        <v>-0.27783155856727981</v>
      </c>
      <c r="CU171" s="20">
        <f t="shared" ca="1" si="177"/>
        <v>-0.18522103904485321</v>
      </c>
      <c r="CV171" s="20">
        <f t="shared" ca="1" si="178"/>
        <v>-0.11113262342691192</v>
      </c>
      <c r="CW171" s="20">
        <f t="shared" ca="1" si="179"/>
        <v>-6.1740346348284403E-2</v>
      </c>
      <c r="CX171" s="20">
        <f t="shared" ca="1" si="180"/>
        <v>-3.2686065713797625E-2</v>
      </c>
      <c r="CY171" s="20">
        <f t="shared" ca="1" si="181"/>
        <v>-1.6838276276804839E-2</v>
      </c>
      <c r="CZ171" s="20">
        <f t="shared" ca="1" si="182"/>
        <v>-8.5486633405316859E-3</v>
      </c>
      <c r="DA171" s="21">
        <f t="shared" ca="1" si="183"/>
        <v>8.5486633405316859E-3</v>
      </c>
      <c r="DB171" s="21">
        <f t="shared" ca="1" si="184"/>
        <v>1.6838276276804839E-2</v>
      </c>
      <c r="DC171" s="21">
        <f t="shared" ca="1" si="185"/>
        <v>3.2686065713797625E-2</v>
      </c>
      <c r="DD171" s="21">
        <f t="shared" ca="1" si="186"/>
        <v>6.1740346348284403E-2</v>
      </c>
      <c r="DE171" s="21">
        <f t="shared" ca="1" si="187"/>
        <v>0.11113262342691192</v>
      </c>
      <c r="DF171" s="21">
        <f t="shared" ca="1" si="188"/>
        <v>0.18522103904485321</v>
      </c>
      <c r="DG171" s="21">
        <f t="shared" ca="1" si="189"/>
        <v>0.27783155856727981</v>
      </c>
      <c r="DI171" s="16" cm="1">
        <f t="array" aca="1" ref="DI171" ca="1">MAX(_xlfn._xlws.FILTER(CT171:DG171,CT171:DG171&lt;BR171))</f>
        <v>-0.11113262342691192</v>
      </c>
      <c r="DJ171" s="16" cm="1">
        <f t="array" aca="1" ref="DJ171" ca="1">MIN(_xlfn._xlws.FILTER(CT171:DG171,CT171:DG171&gt;BR171))</f>
        <v>-6.1740346348284403E-2</v>
      </c>
      <c r="DK171" s="2" cm="1">
        <f t="array" aca="1" ref="DK171" ca="1">_FV(EC171,"Fechamento anterior",TRUE)</f>
        <v>4.08</v>
      </c>
      <c r="DL171" s="28">
        <f t="shared" ca="1" si="162"/>
        <v>0.86056312769009868</v>
      </c>
      <c r="DM171" s="15">
        <f t="shared" ca="1" si="190"/>
        <v>3.6265788964181995</v>
      </c>
      <c r="DN171" s="15">
        <f t="shared" ca="1" si="191"/>
        <v>3.8280993868989999</v>
      </c>
      <c r="DO171" s="9"/>
      <c r="DP171" s="9"/>
      <c r="DQ171" s="9"/>
      <c r="DR171" s="89">
        <v>1.4912485500720798E-2</v>
      </c>
      <c r="DS171" s="89">
        <v>7.9665850224225846E-3</v>
      </c>
      <c r="DT171" s="89">
        <v>1.7097326681063372E-2</v>
      </c>
      <c r="DU171" s="89">
        <v>4.9392277078627519E-2</v>
      </c>
      <c r="DV171" s="89">
        <f t="shared" ca="1" si="163"/>
        <v>4.9392277078627519E-2</v>
      </c>
      <c r="DW171" s="72">
        <f t="shared" ca="1" si="164"/>
        <v>-0.74813508035454779</v>
      </c>
      <c r="DX171" s="37"/>
      <c r="DY171" s="35">
        <f t="shared" si="174"/>
        <v>0.18445866745696732</v>
      </c>
      <c r="DZ171" s="56"/>
      <c r="EA171" s="56"/>
      <c r="EC171" s="2" t="e" vm="173">
        <v>#VALUE!</v>
      </c>
      <c r="EE171" s="10" cm="1">
        <f t="array" aca="1" ref="EE171" ca="1">_FV(EC171,"Ações em circulação",TRUE)</f>
        <v>403868800</v>
      </c>
      <c r="EF171" s="18">
        <f>VLOOKUP(BM171,Fundamentus!A:U,5,FALSE)</f>
        <v>0.42299999999999999</v>
      </c>
      <c r="EG171" s="2">
        <f t="shared" ca="1" si="165"/>
        <v>3628135791.9621749</v>
      </c>
      <c r="EH171" s="17">
        <v>232926317.84397161</v>
      </c>
      <c r="EI171" s="17">
        <f t="shared" ca="1" si="166"/>
        <v>232926317.84397161</v>
      </c>
      <c r="EK171" s="16">
        <f t="shared" ca="1" si="153"/>
        <v>0</v>
      </c>
      <c r="EL171" s="32" t="str">
        <f>IF(VLOOKUP(BM171,Fundamentus!A:U,3,FALSE)&lt;15,"Bom",IF(VLOOKUP(BM171,Fundamentus!A:U,3,FALSE)&gt;15,"Ruim","n/a"))</f>
        <v>Bom</v>
      </c>
      <c r="EM171" s="28" t="str">
        <f>IF(VLOOKUP(BM171,Fundamentus!A:U,4,FALSE)&lt;1,"Baixo",IF(VLOOKUP(BM171,Fundamentus!A:U,4,FALSE)&lt;1.5,"Moderado",IF(VLOOKUP(BM171,Fundamentus!A:U,4,FALSE)&gt;1.5,"Alto","n/a")))</f>
        <v>Baixo</v>
      </c>
      <c r="EN171" s="17" t="str">
        <f>IF(VLOOKUP(BM171,Fundamentus!A:U,8,FALSE)&lt;0,"Risco elevado",IF(VLOOKUP(BM171,Fundamentus!A:U,8,FALSE)&lt;1,"Saudável",IF(VLOOKUP(BM171,Fundamentus!A:U,8,FALSE)&lt;3,"Estável",IF(VLOOKUP(BM171,Fundamentus!A:U,8,FALSE)&gt;3,"Alerta","n/a"))))</f>
        <v>Estável</v>
      </c>
      <c r="EO171" s="28" t="str">
        <f t="shared" si="167"/>
        <v>Ruim</v>
      </c>
      <c r="EP171" s="17" t="str">
        <f>IF(VLOOKUP(BM171,Fundamentus!A:U,12,FALSE)&lt;2,"Subvalorizada",IF(VLOOKUP(BM171,Fundamentus!A:U,12,FALSE)&lt;6,"Muita barata",IF(VLOOKUP(BM171,Fundamentus!A:U,12,FALSE)&lt;6,"Barata",IF(VLOOKUP(BM171,Fundamentus!A:U,12,FALSE)&lt;8,"Atrativa",IF(VLOOKUP(BM171,Fundamentus!A:U,12,FALSE)&gt;8,"Supervalorizada","n/a")))))</f>
        <v>Muita barata</v>
      </c>
      <c r="ER171" s="17" t="str">
        <f>IF(VLOOKUP(BM171,Fundamentus!A:U,17,FALSE)&lt;0.1,"Fraco retorno",IF(VLOOKUP(BM171,Fundamentus!A:U,17,FALSE)&gt;0.1,"Bom retorno","n/a"))</f>
        <v>Fraco retorno</v>
      </c>
      <c r="ES171" s="17" t="str">
        <f>IF(VLOOKUP(BM171,Fundamentus!A:U,16,FALSE)&lt;0.1,"Ineficiente",IF(VLOOKUP(BM171,Fundamentus!A:U,16,FALSE)&gt;0.1,"Eficiente","n/a"))</f>
        <v>Eficiente</v>
      </c>
      <c r="ET171" s="33" t="str">
        <f>IF(VLOOKUP(BM171,Fundamentus!A:U,16,FALSE)&lt;0.1,"Oper. Ineficiente",IF(VLOOKUP(BM171,Fundamentus!A:U,16,FALSE)&gt;0.1,"Oper.Eficiente","n/a"))</f>
        <v>Oper.Eficiente</v>
      </c>
      <c r="EU171" s="34">
        <f>VLOOKUP(BM171,Fundamentus!A:U,14,FALSE)</f>
        <v>6.4199999999999993E-2</v>
      </c>
      <c r="EV171" s="17" t="str">
        <f>IF(VLOOKUP(BM171,Fundamentus!A:U,21,FALSE)&lt;0,"Negativo",IF(VLOOKUP(BM171,Fundamentus!A:U,21,FALSE)&lt;0.05,"Fraco",IF(VLOOKUP(BM171,Fundamentus!A:U,21,FALSE)&lt;0.1,"Bom",IF(VLOOKUP(BM171,Fundamentus!A:U,21,FALSE)&gt;0.1,"Muito bom","n/a"))))</f>
        <v>Muito bom</v>
      </c>
      <c r="EX171" s="29" t="str">
        <f>IF(VLOOKUP(BM171,Fundamentus!A:U,15,FALSE)&gt;1,"Bom",IF(VLOOKUP(BM171,Fundamentus!A:U,15,FALSE)&lt;1,"Ruim","n/a"))</f>
        <v>Bom</v>
      </c>
      <c r="EY171" s="17" t="str">
        <f>IF(VLOOKUP(BM171,Fundamentus!A:U,20,FALSE)&lt;0.5,"Baixa",IF(VLOOKUP(BM171,Fundamentus!A:U,20,FALSE)&lt;1,"Moderada",IF(VLOOKUP(BM171,Fundamentus!A:U,20,FALSE)&lt;2,"Alerta",IF(VLOOKUP(BM171,Fundamentus!A:U,20,FALSE)&gt;2,"Alta","n/a"))))</f>
        <v>Alta</v>
      </c>
      <c r="EZ171" s="10"/>
    </row>
    <row r="172" spans="1:156" s="2" customFormat="1" ht="11.25" x14ac:dyDescent="0.2">
      <c r="A172" s="4">
        <v>46.75</v>
      </c>
      <c r="B172" s="4">
        <v>46.78</v>
      </c>
      <c r="C172" s="4">
        <v>48.12</v>
      </c>
      <c r="D172" s="4">
        <v>43.38</v>
      </c>
      <c r="E172" s="4">
        <v>41.59</v>
      </c>
      <c r="F172" s="4">
        <v>39.92</v>
      </c>
      <c r="G172" s="4">
        <v>42.01</v>
      </c>
      <c r="H172" s="4">
        <v>41.33</v>
      </c>
      <c r="I172" s="4">
        <v>43.76</v>
      </c>
      <c r="J172" s="4">
        <v>46.55</v>
      </c>
      <c r="K172" s="4">
        <v>45.59</v>
      </c>
      <c r="L172" s="4">
        <v>45.29</v>
      </c>
      <c r="M172" s="4">
        <v>47.5</v>
      </c>
      <c r="N172" s="4">
        <v>46.01</v>
      </c>
      <c r="O172" s="4">
        <v>47.83</v>
      </c>
      <c r="P172" s="4">
        <v>49.29</v>
      </c>
      <c r="Q172" s="4">
        <v>47.05</v>
      </c>
      <c r="R172" s="4">
        <v>46.84</v>
      </c>
      <c r="S172" s="4">
        <v>42.46</v>
      </c>
      <c r="T172" s="4">
        <v>43.31</v>
      </c>
      <c r="U172" s="4">
        <v>44.2</v>
      </c>
      <c r="V172" s="4">
        <v>43.58</v>
      </c>
      <c r="W172" s="4">
        <v>44.81</v>
      </c>
      <c r="X172" s="4">
        <v>44.26</v>
      </c>
      <c r="Y172" s="4">
        <v>41.8</v>
      </c>
      <c r="Z172" s="4">
        <v>41.65</v>
      </c>
      <c r="AA172" s="4">
        <v>39.85</v>
      </c>
      <c r="AB172" s="4">
        <v>38.9</v>
      </c>
      <c r="AC172" s="4">
        <v>39.700000000000003</v>
      </c>
      <c r="AD172" s="4">
        <v>40.4</v>
      </c>
      <c r="AE172" s="4">
        <v>40.15</v>
      </c>
      <c r="AF172" s="4">
        <v>39.700000000000003</v>
      </c>
      <c r="AG172" s="4">
        <v>41.5</v>
      </c>
      <c r="AH172" s="4">
        <v>39.25</v>
      </c>
      <c r="AI172" s="4">
        <v>39.909999999999997</v>
      </c>
      <c r="AJ172" s="4">
        <v>40.619999999999997</v>
      </c>
      <c r="AK172" s="4">
        <v>42.63</v>
      </c>
      <c r="AL172" s="4">
        <v>42.71</v>
      </c>
      <c r="AM172" s="4">
        <v>41.15</v>
      </c>
      <c r="AN172" s="4">
        <v>40.99</v>
      </c>
      <c r="AO172" s="4">
        <v>39.619999999999997</v>
      </c>
      <c r="AP172" s="4">
        <v>39.43</v>
      </c>
      <c r="AQ172" s="4">
        <v>37.700000000000003</v>
      </c>
      <c r="AR172" s="4">
        <v>38.17</v>
      </c>
      <c r="AS172" s="4">
        <v>38.32</v>
      </c>
      <c r="AT172" s="4">
        <v>39.35</v>
      </c>
      <c r="AU172" s="4">
        <v>39.045000000000002</v>
      </c>
      <c r="AV172" s="4">
        <v>40.14</v>
      </c>
      <c r="AW172" s="4">
        <v>33.9</v>
      </c>
      <c r="AX172" s="4">
        <v>34.33</v>
      </c>
      <c r="AY172" s="12">
        <v>34.56</v>
      </c>
      <c r="AZ172" s="12">
        <v>34.880000000000003</v>
      </c>
      <c r="BA172" s="12">
        <v>33.71</v>
      </c>
      <c r="BB172" s="15">
        <v>36.659999999999997</v>
      </c>
      <c r="BC172" s="52">
        <v>39</v>
      </c>
      <c r="BD172" s="52">
        <v>38.799999999999997</v>
      </c>
      <c r="BE172" s="52">
        <v>38.950000000000003</v>
      </c>
      <c r="BF172" s="52">
        <v>42.51</v>
      </c>
      <c r="BG172" s="67">
        <v>43.98</v>
      </c>
      <c r="BH172" s="52">
        <v>43.56</v>
      </c>
      <c r="BI172" s="52">
        <v>41.87</v>
      </c>
      <c r="BJ172" s="52">
        <v>42.58</v>
      </c>
      <c r="BK172" s="52">
        <v>42.76</v>
      </c>
      <c r="BL172" s="52" cm="1">
        <f t="array" aca="1" ref="BL172" ca="1">_FV(EC172,"Preço")</f>
        <v>42.76</v>
      </c>
      <c r="BM172" s="69" t="s">
        <v>168</v>
      </c>
      <c r="BN172" s="36" cm="1">
        <f t="array" aca="1" ref="BN172" ca="1">_FV(EC172,"Média de volume",TRUE)</f>
        <v>6848840</v>
      </c>
      <c r="BO172" s="36">
        <v>8109200</v>
      </c>
      <c r="BP172" s="36" cm="1">
        <f t="array" aca="1" ref="BP172" ca="1">_FV(EC172,"Volume")</f>
        <v>8109200</v>
      </c>
      <c r="BQ172" s="24" cm="1">
        <f t="array" aca="1" ref="BQ172" ca="1">_FV(EC172,"Beta")</f>
        <v>1.2918000000000001</v>
      </c>
      <c r="BR172" s="71" cm="1">
        <f t="array" aca="1" ref="BR172" ca="1">_FV(EC172,"Variação (%)",TRUE)</f>
        <v>2.2967000000000001E-2</v>
      </c>
      <c r="BT172" s="17" cm="1">
        <f t="array" aca="1" ref="BT172" ca="1">_FV(EC172,"Baixo")</f>
        <v>41.67</v>
      </c>
      <c r="BU172" s="17" cm="1">
        <f t="array" aca="1" ref="BU172" ca="1">_FV(EC172,"Alto")</f>
        <v>42.77</v>
      </c>
      <c r="BV172" s="24"/>
      <c r="BW172" s="63">
        <f ca="1">SQRT(22.5*(BL172/VLOOKUP(BM172,Fundamentus!A:U,3,FALSE))*(BL172/VLOOKUP(BM172,Fundamentus!A:U,4,FALSE)))</f>
        <v>89.373440327503928</v>
      </c>
      <c r="BY172" s="62">
        <f t="shared" ca="1" si="168"/>
        <v>0</v>
      </c>
      <c r="BZ172" s="8"/>
      <c r="CA172" s="61">
        <f t="shared" si="169"/>
        <v>33.71</v>
      </c>
      <c r="CB172" s="61">
        <f t="shared" si="170"/>
        <v>49.29</v>
      </c>
      <c r="CC172" s="61">
        <f t="shared" si="171"/>
        <v>41.634047619047628</v>
      </c>
      <c r="CD172" s="14"/>
      <c r="CE172" s="35">
        <f t="shared" si="154"/>
        <v>41.209492859431037</v>
      </c>
      <c r="CF172" s="15">
        <f t="shared" si="172"/>
        <v>42.607999999999947</v>
      </c>
      <c r="CG172" s="35">
        <f t="shared" si="155"/>
        <v>44.006507140568857</v>
      </c>
      <c r="CI172" s="14"/>
      <c r="CJ172" s="17">
        <f t="shared" si="156"/>
        <v>18.850000000000001</v>
      </c>
      <c r="CK172" s="17">
        <f t="shared" si="157"/>
        <v>26.28</v>
      </c>
      <c r="CL172" s="17">
        <f t="shared" si="158"/>
        <v>34.43</v>
      </c>
      <c r="CM172" s="38">
        <f t="shared" si="173"/>
        <v>41.86</v>
      </c>
      <c r="CN172" s="17">
        <f t="shared" si="159"/>
        <v>50.01</v>
      </c>
      <c r="CO172" s="17">
        <f t="shared" si="160"/>
        <v>57.44</v>
      </c>
      <c r="CP172" s="17">
        <f t="shared" si="161"/>
        <v>65.59</v>
      </c>
      <c r="CQ172" s="2" cm="1">
        <f t="array" aca="1" ref="CQ172" ca="1">MAX(_xlfn._xlws.FILTER(CJ172:CP172,CJ172:CP172&lt;BL172))</f>
        <v>41.86</v>
      </c>
      <c r="CR172" s="2" cm="1">
        <f t="array" aca="1" ref="CR172" ca="1">MIN(_xlfn._xlws.FILTER($CJ172:$CP172,$CJ172:$CP172&gt;BL172))</f>
        <v>50.01</v>
      </c>
      <c r="CS172" s="16">
        <f t="shared" ca="1" si="175"/>
        <v>0.19469660774008601</v>
      </c>
      <c r="CT172" s="20">
        <f t="shared" ca="1" si="176"/>
        <v>-9.7348303870043007E-2</v>
      </c>
      <c r="CU172" s="20">
        <f t="shared" ca="1" si="177"/>
        <v>-6.4898869246695343E-2</v>
      </c>
      <c r="CV172" s="20">
        <f t="shared" ca="1" si="178"/>
        <v>-3.89393215480172E-2</v>
      </c>
      <c r="CW172" s="20">
        <f t="shared" ca="1" si="179"/>
        <v>-2.1632956415565112E-2</v>
      </c>
      <c r="CX172" s="20">
        <f t="shared" ca="1" si="180"/>
        <v>-1.1452741631769766E-2</v>
      </c>
      <c r="CY172" s="20">
        <f t="shared" ca="1" si="181"/>
        <v>-5.8998972042450309E-3</v>
      </c>
      <c r="CZ172" s="20">
        <f t="shared" ca="1" si="182"/>
        <v>-2.9953324267705541E-3</v>
      </c>
      <c r="DA172" s="21">
        <f t="shared" ca="1" si="183"/>
        <v>2.9953324267705541E-3</v>
      </c>
      <c r="DB172" s="21">
        <f t="shared" ca="1" si="184"/>
        <v>5.8998972042450309E-3</v>
      </c>
      <c r="DC172" s="21">
        <f t="shared" ca="1" si="185"/>
        <v>1.1452741631769766E-2</v>
      </c>
      <c r="DD172" s="21">
        <f t="shared" ca="1" si="186"/>
        <v>2.1632956415565112E-2</v>
      </c>
      <c r="DE172" s="21">
        <f t="shared" ca="1" si="187"/>
        <v>3.89393215480172E-2</v>
      </c>
      <c r="DF172" s="21">
        <f t="shared" ca="1" si="188"/>
        <v>6.4898869246695343E-2</v>
      </c>
      <c r="DG172" s="21">
        <f t="shared" ca="1" si="189"/>
        <v>9.7348303870043007E-2</v>
      </c>
      <c r="DI172" s="16" cm="1">
        <f t="array" aca="1" ref="DI172" ca="1">MAX(_xlfn._xlws.FILTER(CT172:DG172,CT172:DG172&lt;BR172))</f>
        <v>2.1632956415565112E-2</v>
      </c>
      <c r="DJ172" s="16" cm="1">
        <f t="array" aca="1" ref="DJ172" ca="1">MIN(_xlfn._xlws.FILTER(CT172:DG172,CT172:DG172&gt;BR172))</f>
        <v>3.89393215480172E-2</v>
      </c>
      <c r="DK172" s="2" cm="1">
        <f t="array" aca="1" ref="DK172" ca="1">_FV(EC172,"Fechamento anterior",TRUE)</f>
        <v>41.8</v>
      </c>
      <c r="DL172" s="28">
        <f t="shared" ca="1" si="162"/>
        <v>7.7055508263129333E-2</v>
      </c>
      <c r="DM172" s="15">
        <f t="shared" ca="1" si="190"/>
        <v>42.704257578170619</v>
      </c>
      <c r="DN172" s="15">
        <f t="shared" ca="1" si="191"/>
        <v>43.427663640707117</v>
      </c>
      <c r="DO172" s="9"/>
      <c r="DP172" s="9"/>
      <c r="DQ172" s="9"/>
      <c r="DR172" s="89">
        <v>2.1642927528442171E-2</v>
      </c>
      <c r="DS172" s="89">
        <v>1.0644463592125558E-2</v>
      </c>
      <c r="DT172" s="89">
        <v>5.9906648535411082E-3</v>
      </c>
      <c r="DU172" s="89">
        <v>1.7306365132452088E-2</v>
      </c>
      <c r="DV172" s="89">
        <f t="shared" ca="1" si="163"/>
        <v>1.7306365132452088E-2</v>
      </c>
      <c r="DW172" s="72">
        <f t="shared" ca="1" si="164"/>
        <v>0.10868732492722023</v>
      </c>
      <c r="DX172" s="37"/>
      <c r="DY172" s="35">
        <f t="shared" si="174"/>
        <v>0.69925357028445434</v>
      </c>
      <c r="DZ172" s="56"/>
      <c r="EA172" s="56"/>
      <c r="EC172" s="2" t="e" vm="174">
        <v>#VALUE!</v>
      </c>
      <c r="EE172" s="10" cm="1">
        <f t="array" aca="1" ref="EE172" ca="1">_FV(EC172,"Ações em circulação",TRUE)</f>
        <v>896346200</v>
      </c>
      <c r="EF172" s="18">
        <f>VLOOKUP(BM172,Fundamentus!A:U,5,FALSE)</f>
        <v>2.5270000000000001</v>
      </c>
      <c r="EG172" s="2">
        <f t="shared" ca="1" si="165"/>
        <v>15167298580.134546</v>
      </c>
      <c r="EH172" s="17">
        <v>11012975499.035694</v>
      </c>
      <c r="EI172" s="17">
        <f t="shared" ca="1" si="166"/>
        <v>11012975499.035694</v>
      </c>
      <c r="EK172" s="16">
        <f t="shared" ca="1" si="153"/>
        <v>0</v>
      </c>
      <c r="EL172" s="32" t="str">
        <f>IF(VLOOKUP(BM172,Fundamentus!A:U,3,FALSE)&lt;15,"Bom",IF(VLOOKUP(BM172,Fundamentus!A:U,3,FALSE)&gt;15,"Ruim","n/a"))</f>
        <v>Bom</v>
      </c>
      <c r="EM172" s="28" t="str">
        <f>IF(VLOOKUP(BM172,Fundamentus!A:U,4,FALSE)&lt;1,"Baixo",IF(VLOOKUP(BM172,Fundamentus!A:U,4,FALSE)&lt;1.5,"Moderado",IF(VLOOKUP(BM172,Fundamentus!A:U,4,FALSE)&gt;1.5,"Alto","n/a")))</f>
        <v>Moderado</v>
      </c>
      <c r="EN172" s="17" t="str">
        <f>IF(VLOOKUP(BM172,Fundamentus!A:U,8,FALSE)&lt;0,"Risco elevado",IF(VLOOKUP(BM172,Fundamentus!A:U,8,FALSE)&lt;1,"Saudável",IF(VLOOKUP(BM172,Fundamentus!A:U,8,FALSE)&lt;3,"Estável",IF(VLOOKUP(BM172,Fundamentus!A:U,8,FALSE)&gt;3,"Alerta","n/a"))))</f>
        <v>Alerta</v>
      </c>
      <c r="EO172" s="28" t="str">
        <f t="shared" si="167"/>
        <v>Bom</v>
      </c>
      <c r="EP172" s="17" t="str">
        <f>IF(VLOOKUP(BM172,Fundamentus!A:U,12,FALSE)&lt;2,"Subvalorizada",IF(VLOOKUP(BM172,Fundamentus!A:U,12,FALSE)&lt;6,"Muita barata",IF(VLOOKUP(BM172,Fundamentus!A:U,12,FALSE)&lt;6,"Barata",IF(VLOOKUP(BM172,Fundamentus!A:U,12,FALSE)&lt;8,"Atrativa",IF(VLOOKUP(BM172,Fundamentus!A:U,12,FALSE)&gt;8,"Supervalorizada","n/a")))))</f>
        <v>Atrativa</v>
      </c>
      <c r="ER172" s="17" t="str">
        <f>IF(VLOOKUP(BM172,Fundamentus!A:U,17,FALSE)&lt;0.1,"Fraco retorno",IF(VLOOKUP(BM172,Fundamentus!A:U,17,FALSE)&gt;0.1,"Bom retorno","n/a"))</f>
        <v>Bom retorno</v>
      </c>
      <c r="ES172" s="17" t="str">
        <f>IF(VLOOKUP(BM172,Fundamentus!A:U,16,FALSE)&lt;0.1,"Ineficiente",IF(VLOOKUP(BM172,Fundamentus!A:U,16,FALSE)&gt;0.1,"Eficiente","n/a"))</f>
        <v>Eficiente</v>
      </c>
      <c r="ET172" s="33" t="str">
        <f>IF(VLOOKUP(BM172,Fundamentus!A:U,16,FALSE)&lt;0.1,"Oper. Ineficiente",IF(VLOOKUP(BM172,Fundamentus!A:U,16,FALSE)&gt;0.1,"Oper.Eficiente","n/a"))</f>
        <v>Oper.Eficiente</v>
      </c>
      <c r="EU172" s="34">
        <f>VLOOKUP(BM172,Fundamentus!A:U,14,FALSE)</f>
        <v>0.72609999999999997</v>
      </c>
      <c r="EV172" s="17" t="str">
        <f>IF(VLOOKUP(BM172,Fundamentus!A:U,21,FALSE)&lt;0,"Negativo",IF(VLOOKUP(BM172,Fundamentus!A:U,21,FALSE)&lt;0.05,"Fraco",IF(VLOOKUP(BM172,Fundamentus!A:U,21,FALSE)&lt;0.1,"Bom",IF(VLOOKUP(BM172,Fundamentus!A:U,21,FALSE)&gt;0.1,"Muito bom","n/a"))))</f>
        <v>Muito bom</v>
      </c>
      <c r="EX172" s="29" t="str">
        <f>IF(VLOOKUP(BM172,Fundamentus!A:U,15,FALSE)&gt;1,"Bom",IF(VLOOKUP(BM172,Fundamentus!A:U,15,FALSE)&lt;1,"Ruim","n/a"))</f>
        <v>Bom</v>
      </c>
      <c r="EY172" s="17" t="str">
        <f>IF(VLOOKUP(BM172,Fundamentus!A:U,20,FALSE)&lt;0.5,"Baixa",IF(VLOOKUP(BM172,Fundamentus!A:U,20,FALSE)&lt;1,"Moderada",IF(VLOOKUP(BM172,Fundamentus!A:U,20,FALSE)&lt;2,"Alerta",IF(VLOOKUP(BM172,Fundamentus!A:U,20,FALSE)&gt;2,"Alta","n/a"))))</f>
        <v>Moderada</v>
      </c>
      <c r="EZ172" s="10"/>
    </row>
    <row r="173" spans="1:156" s="2" customFormat="1" ht="11.25" x14ac:dyDescent="0.2">
      <c r="A173" s="4">
        <v>12.2</v>
      </c>
      <c r="B173" s="4">
        <v>12.3</v>
      </c>
      <c r="C173" s="4">
        <v>11.94</v>
      </c>
      <c r="D173" s="4">
        <v>11.67</v>
      </c>
      <c r="E173" s="4">
        <v>11.37</v>
      </c>
      <c r="F173" s="4">
        <v>11.43</v>
      </c>
      <c r="G173" s="4">
        <v>11.18</v>
      </c>
      <c r="H173" s="4">
        <v>11.54</v>
      </c>
      <c r="I173" s="4">
        <v>11.32</v>
      </c>
      <c r="J173" s="4">
        <v>12.01</v>
      </c>
      <c r="K173" s="4">
        <v>12</v>
      </c>
      <c r="L173" s="4">
        <v>11.94</v>
      </c>
      <c r="M173" s="4">
        <v>11.54</v>
      </c>
      <c r="N173" s="4">
        <v>11.49</v>
      </c>
      <c r="O173" s="4">
        <v>11.77</v>
      </c>
      <c r="P173" s="4">
        <v>11.82</v>
      </c>
      <c r="Q173" s="4">
        <v>11.85</v>
      </c>
      <c r="R173" s="4">
        <v>11.26</v>
      </c>
      <c r="S173" s="4">
        <v>11.59</v>
      </c>
      <c r="T173" s="4">
        <v>11.8</v>
      </c>
      <c r="U173" s="4">
        <v>11.27</v>
      </c>
      <c r="V173" s="4">
        <v>11.29</v>
      </c>
      <c r="W173" s="4">
        <v>10.93</v>
      </c>
      <c r="X173" s="4">
        <v>10.24</v>
      </c>
      <c r="Y173" s="4">
        <v>10.5</v>
      </c>
      <c r="Z173" s="4">
        <v>10.35</v>
      </c>
      <c r="AA173" s="4">
        <v>10.96</v>
      </c>
      <c r="AB173" s="4">
        <v>11.34</v>
      </c>
      <c r="AC173" s="4">
        <v>10.32</v>
      </c>
      <c r="AD173" s="4">
        <v>10.71</v>
      </c>
      <c r="AE173" s="4">
        <v>10.8</v>
      </c>
      <c r="AF173" s="4">
        <v>10.72</v>
      </c>
      <c r="AG173" s="4">
        <v>10.78</v>
      </c>
      <c r="AH173" s="4">
        <v>10.71</v>
      </c>
      <c r="AI173" s="4">
        <v>10.75</v>
      </c>
      <c r="AJ173" s="4">
        <v>10.32</v>
      </c>
      <c r="AK173" s="4">
        <v>10.35</v>
      </c>
      <c r="AL173" s="4">
        <v>10.94</v>
      </c>
      <c r="AM173" s="4">
        <v>10.71</v>
      </c>
      <c r="AN173" s="4">
        <v>11.3</v>
      </c>
      <c r="AO173" s="4">
        <v>11.68</v>
      </c>
      <c r="AP173" s="4">
        <v>11.46</v>
      </c>
      <c r="AQ173" s="4">
        <v>11.67</v>
      </c>
      <c r="AR173" s="4">
        <v>10.61</v>
      </c>
      <c r="AS173" s="4">
        <v>10.89</v>
      </c>
      <c r="AT173" s="4">
        <v>10.93</v>
      </c>
      <c r="AU173" s="4">
        <v>11.154999999999999</v>
      </c>
      <c r="AV173" s="4">
        <v>10.55</v>
      </c>
      <c r="AW173" s="4">
        <v>10.77</v>
      </c>
      <c r="AX173" s="4">
        <v>10.83</v>
      </c>
      <c r="AY173" s="12">
        <v>10.53</v>
      </c>
      <c r="AZ173" s="12">
        <v>10.68</v>
      </c>
      <c r="BA173" s="12">
        <v>10.68</v>
      </c>
      <c r="BB173" s="15">
        <v>11.27</v>
      </c>
      <c r="BC173" s="52">
        <v>11.21</v>
      </c>
      <c r="BD173" s="52">
        <v>10.92</v>
      </c>
      <c r="BE173" s="52">
        <v>11</v>
      </c>
      <c r="BF173" s="52">
        <v>10.99</v>
      </c>
      <c r="BG173" s="67">
        <v>10.85</v>
      </c>
      <c r="BH173" s="52">
        <v>11.61</v>
      </c>
      <c r="BI173" s="52">
        <v>11.61</v>
      </c>
      <c r="BJ173" s="52">
        <v>11.73</v>
      </c>
      <c r="BK173" s="52">
        <v>11.59</v>
      </c>
      <c r="BL173" s="52" cm="1">
        <f t="array" aca="1" ref="BL173" ca="1">_FV(EC173,"Preço")</f>
        <v>11.59</v>
      </c>
      <c r="BM173" s="69" t="s">
        <v>169</v>
      </c>
      <c r="BN173" s="36" cm="1">
        <f t="array" aca="1" ref="BN173" ca="1">_FV(EC173,"Média de volume",TRUE)</f>
        <v>2102640</v>
      </c>
      <c r="BO173" s="36">
        <v>4262200</v>
      </c>
      <c r="BP173" s="36" cm="1">
        <f t="array" aca="1" ref="BP173" ca="1">_FV(EC173,"Volume")</f>
        <v>4262200</v>
      </c>
      <c r="BQ173" s="24" cm="1">
        <f t="array" aca="1" ref="BQ173" ca="1">_FV(EC173,"Beta")</f>
        <v>0.53480000000000005</v>
      </c>
      <c r="BR173" s="71" cm="1">
        <f t="array" aca="1" ref="BR173" ca="1">_FV(EC173,"Variação (%)",TRUE)</f>
        <v>1.7559000000000002E-2</v>
      </c>
      <c r="BT173" s="17" cm="1">
        <f t="array" aca="1" ref="BT173" ca="1">_FV(EC173,"Baixo")</f>
        <v>11.18</v>
      </c>
      <c r="BU173" s="17" cm="1">
        <f t="array" aca="1" ref="BU173" ca="1">_FV(EC173,"Alto")</f>
        <v>11.59</v>
      </c>
      <c r="BV173" s="24"/>
      <c r="BW173" s="63">
        <f ca="1">SQRT(22.5*(BL173/VLOOKUP(BM173,Fundamentus!A:U,3,FALSE))*(BL173/VLOOKUP(BM173,Fundamentus!A:U,4,FALSE)))</f>
        <v>8.1323421941288796</v>
      </c>
      <c r="BY173" s="62">
        <f t="shared" ca="1" si="168"/>
        <v>0</v>
      </c>
      <c r="BZ173" s="8"/>
      <c r="CA173" s="61">
        <f t="shared" si="169"/>
        <v>10.24</v>
      </c>
      <c r="CB173" s="61">
        <f t="shared" si="170"/>
        <v>12.3</v>
      </c>
      <c r="CC173" s="61">
        <f t="shared" si="171"/>
        <v>11.182936507936505</v>
      </c>
      <c r="CD173" s="14"/>
      <c r="CE173" s="35">
        <f t="shared" si="154"/>
        <v>10.953050691251132</v>
      </c>
      <c r="CF173" s="15">
        <f t="shared" si="172"/>
        <v>11.638000000000002</v>
      </c>
      <c r="CG173" s="35">
        <f t="shared" si="155"/>
        <v>12.322949308748871</v>
      </c>
      <c r="CI173" s="14"/>
      <c r="CJ173" s="17">
        <f t="shared" si="156"/>
        <v>8.4866666666666628</v>
      </c>
      <c r="CK173" s="17">
        <f t="shared" si="157"/>
        <v>9.3633333333333315</v>
      </c>
      <c r="CL173" s="17">
        <f t="shared" si="158"/>
        <v>10.546666666666663</v>
      </c>
      <c r="CM173" s="38">
        <f t="shared" si="173"/>
        <v>11.423333333333332</v>
      </c>
      <c r="CN173" s="17">
        <f t="shared" si="159"/>
        <v>12.606666666666664</v>
      </c>
      <c r="CO173" s="17">
        <f t="shared" si="160"/>
        <v>13.483333333333333</v>
      </c>
      <c r="CP173" s="17">
        <f t="shared" si="161"/>
        <v>14.666666666666664</v>
      </c>
      <c r="CQ173" s="2" cm="1">
        <f t="array" aca="1" ref="CQ173" ca="1">MAX(_xlfn._xlws.FILTER(CJ173:CP173,CJ173:CP173&lt;BL173))</f>
        <v>11.423333333333332</v>
      </c>
      <c r="CR173" s="2" cm="1">
        <f t="array" aca="1" ref="CR173" ca="1">MIN(_xlfn._xlws.FILTER($CJ173:$CP173,$CJ173:$CP173&gt;BL173))</f>
        <v>12.606666666666664</v>
      </c>
      <c r="CS173" s="16">
        <f t="shared" ca="1" si="175"/>
        <v>0.10358914502480299</v>
      </c>
      <c r="CT173" s="20">
        <f t="shared" ca="1" si="176"/>
        <v>-5.1794572512401493E-2</v>
      </c>
      <c r="CU173" s="20">
        <f t="shared" ca="1" si="177"/>
        <v>-3.452971500826766E-2</v>
      </c>
      <c r="CV173" s="20">
        <f t="shared" ca="1" si="178"/>
        <v>-2.0717829004960598E-2</v>
      </c>
      <c r="CW173" s="20">
        <f t="shared" ca="1" si="179"/>
        <v>-1.1509905002755887E-2</v>
      </c>
      <c r="CX173" s="20">
        <f t="shared" ca="1" si="180"/>
        <v>-6.0934791191060581E-3</v>
      </c>
      <c r="CY173" s="20">
        <f t="shared" ca="1" si="181"/>
        <v>-3.1390650007516057E-3</v>
      </c>
      <c r="CZ173" s="20">
        <f t="shared" ca="1" si="182"/>
        <v>-1.5936791542277382E-3</v>
      </c>
      <c r="DA173" s="21">
        <f t="shared" ca="1" si="183"/>
        <v>1.5936791542277382E-3</v>
      </c>
      <c r="DB173" s="21">
        <f t="shared" ca="1" si="184"/>
        <v>3.1390650007516057E-3</v>
      </c>
      <c r="DC173" s="21">
        <f t="shared" ca="1" si="185"/>
        <v>6.0934791191060581E-3</v>
      </c>
      <c r="DD173" s="21">
        <f t="shared" ca="1" si="186"/>
        <v>1.1509905002755887E-2</v>
      </c>
      <c r="DE173" s="21">
        <f t="shared" ca="1" si="187"/>
        <v>2.0717829004960598E-2</v>
      </c>
      <c r="DF173" s="21">
        <f t="shared" ca="1" si="188"/>
        <v>3.452971500826766E-2</v>
      </c>
      <c r="DG173" s="21">
        <f t="shared" ca="1" si="189"/>
        <v>5.1794572512401493E-2</v>
      </c>
      <c r="DI173" s="16" cm="1">
        <f t="array" aca="1" ref="DI173" ca="1">MAX(_xlfn._xlws.FILTER(CT173:DG173,CT173:DG173&lt;BR173))</f>
        <v>1.1509905002755887E-2</v>
      </c>
      <c r="DJ173" s="16" cm="1">
        <f t="array" aca="1" ref="DJ173" ca="1">MIN(_xlfn._xlws.FILTER(CT173:DG173,CT173:DG173&gt;BR173))</f>
        <v>2.0717829004960598E-2</v>
      </c>
      <c r="DK173" s="2" cm="1">
        <f t="array" aca="1" ref="DK173" ca="1">_FV(EC173,"Fechamento anterior",TRUE)</f>
        <v>11.39</v>
      </c>
      <c r="DL173" s="28">
        <f t="shared" ca="1" si="162"/>
        <v>0.65697300572530237</v>
      </c>
      <c r="DM173" s="15">
        <f t="shared" ca="1" si="190"/>
        <v>11.52109781798139</v>
      </c>
      <c r="DN173" s="15">
        <f t="shared" ca="1" si="191"/>
        <v>11.625976072366502</v>
      </c>
      <c r="DO173" s="9"/>
      <c r="DP173" s="9"/>
      <c r="DQ173" s="9"/>
      <c r="DR173" s="89">
        <v>1.8908618193636145E-3</v>
      </c>
      <c r="DS173" s="89">
        <v>3.3502995940983158E-3</v>
      </c>
      <c r="DT173" s="89">
        <v>9.2079240022047114E-3</v>
      </c>
      <c r="DU173" s="89">
        <v>9.2079240022047114E-3</v>
      </c>
      <c r="DV173" s="89">
        <f t="shared" ca="1" si="163"/>
        <v>9.2079240022047114E-3</v>
      </c>
      <c r="DW173" s="72">
        <f t="shared" ca="1" si="164"/>
        <v>-7.0078178613945552E-2</v>
      </c>
      <c r="DX173" s="37"/>
      <c r="DY173" s="35">
        <f t="shared" si="174"/>
        <v>0.34247465437443525</v>
      </c>
      <c r="DZ173" s="56"/>
      <c r="EA173" s="56"/>
      <c r="EC173" s="2" t="e" vm="175">
        <v>#VALUE!</v>
      </c>
      <c r="EE173" s="10" cm="1">
        <f t="array" aca="1" ref="EE173" ca="1">_FV(EC173,"Ações em circulação",TRUE)</f>
        <v>552495700</v>
      </c>
      <c r="EF173" s="18">
        <f>VLOOKUP(BM173,Fundamentus!A:U,5,FALSE)</f>
        <v>2.5590000000000002</v>
      </c>
      <c r="EG173" s="2">
        <f t="shared" ca="1" si="165"/>
        <v>2502315421.2583036</v>
      </c>
      <c r="EH173" s="17">
        <v>607562184.28151608</v>
      </c>
      <c r="EI173" s="17">
        <f t="shared" ca="1" si="166"/>
        <v>607562184.28151608</v>
      </c>
      <c r="EK173" s="16">
        <f t="shared" ca="1" si="153"/>
        <v>0</v>
      </c>
      <c r="EL173" s="32" t="str">
        <f>IF(VLOOKUP(BM173,Fundamentus!A:U,3,FALSE)&lt;15,"Bom",IF(VLOOKUP(BM173,Fundamentus!A:U,3,FALSE)&gt;15,"Ruim","n/a"))</f>
        <v>Bom</v>
      </c>
      <c r="EM173" s="28" t="str">
        <f>IF(VLOOKUP(BM173,Fundamentus!A:U,4,FALSE)&lt;1,"Baixo",IF(VLOOKUP(BM173,Fundamentus!A:U,4,FALSE)&lt;1.5,"Moderado",IF(VLOOKUP(BM173,Fundamentus!A:U,4,FALSE)&gt;1.5,"Alto","n/a")))</f>
        <v>Alto</v>
      </c>
      <c r="EN173" s="17" t="str">
        <f>IF(VLOOKUP(BM173,Fundamentus!A:U,8,FALSE)&lt;0,"Risco elevado",IF(VLOOKUP(BM173,Fundamentus!A:U,8,FALSE)&lt;1,"Saudável",IF(VLOOKUP(BM173,Fundamentus!A:U,8,FALSE)&lt;3,"Estável",IF(VLOOKUP(BM173,Fundamentus!A:U,8,FALSE)&gt;3,"Alerta","n/a"))))</f>
        <v>Risco elevado</v>
      </c>
      <c r="EO173" s="28" t="str">
        <f t="shared" si="167"/>
        <v>Bom</v>
      </c>
      <c r="EP173" s="17" t="str">
        <f>IF(VLOOKUP(BM173,Fundamentus!A:U,12,FALSE)&lt;2,"Subvalorizada",IF(VLOOKUP(BM173,Fundamentus!A:U,12,FALSE)&lt;6,"Muita barata",IF(VLOOKUP(BM173,Fundamentus!A:U,12,FALSE)&lt;6,"Barata",IF(VLOOKUP(BM173,Fundamentus!A:U,12,FALSE)&lt;8,"Atrativa",IF(VLOOKUP(BM173,Fundamentus!A:U,12,FALSE)&gt;8,"Supervalorizada","n/a")))))</f>
        <v>Atrativa</v>
      </c>
      <c r="ER173" s="17" t="str">
        <f>IF(VLOOKUP(BM173,Fundamentus!A:U,17,FALSE)&lt;0.1,"Fraco retorno",IF(VLOOKUP(BM173,Fundamentus!A:U,17,FALSE)&gt;0.1,"Bom retorno","n/a"))</f>
        <v>Bom retorno</v>
      </c>
      <c r="ES173" s="17" t="str">
        <f>IF(VLOOKUP(BM173,Fundamentus!A:U,16,FALSE)&lt;0.1,"Ineficiente",IF(VLOOKUP(BM173,Fundamentus!A:U,16,FALSE)&gt;0.1,"Eficiente","n/a"))</f>
        <v>Eficiente</v>
      </c>
      <c r="ET173" s="33" t="str">
        <f>IF(VLOOKUP(BM173,Fundamentus!A:U,16,FALSE)&lt;0.1,"Oper. Ineficiente",IF(VLOOKUP(BM173,Fundamentus!A:U,16,FALSE)&gt;0.1,"Oper.Eficiente","n/a"))</f>
        <v>Oper.Eficiente</v>
      </c>
      <c r="EU173" s="34">
        <f>VLOOKUP(BM173,Fundamentus!A:U,14,FALSE)</f>
        <v>0.24279999999999999</v>
      </c>
      <c r="EV173" s="17" t="str">
        <f>IF(VLOOKUP(BM173,Fundamentus!A:U,21,FALSE)&lt;0,"Negativo",IF(VLOOKUP(BM173,Fundamentus!A:U,21,FALSE)&lt;0.05,"Fraco",IF(VLOOKUP(BM173,Fundamentus!A:U,21,FALSE)&lt;0.1,"Bom",IF(VLOOKUP(BM173,Fundamentus!A:U,21,FALSE)&gt;0.1,"Muito bom","n/a"))))</f>
        <v>Bom</v>
      </c>
      <c r="EX173" s="29" t="str">
        <f>IF(VLOOKUP(BM173,Fundamentus!A:U,15,FALSE)&gt;1,"Bom",IF(VLOOKUP(BM173,Fundamentus!A:U,15,FALSE)&lt;1,"Ruim","n/a"))</f>
        <v>Ruim</v>
      </c>
      <c r="EY173" s="17" t="str">
        <f>IF(VLOOKUP(BM173,Fundamentus!A:U,20,FALSE)&lt;0.5,"Baixa",IF(VLOOKUP(BM173,Fundamentus!A:U,20,FALSE)&lt;1,"Moderada",IF(VLOOKUP(BM173,Fundamentus!A:U,20,FALSE)&lt;2,"Alerta",IF(VLOOKUP(BM173,Fundamentus!A:U,20,FALSE)&gt;2,"Alta","n/a"))))</f>
        <v>Baixa</v>
      </c>
      <c r="EZ173" s="10"/>
    </row>
    <row r="174" spans="1:156" s="2" customFormat="1" ht="11.25" x14ac:dyDescent="0.2">
      <c r="A174" s="4">
        <v>21.55</v>
      </c>
      <c r="B174" s="4">
        <v>21.35</v>
      </c>
      <c r="C174" s="4">
        <v>20.93</v>
      </c>
      <c r="D174" s="4">
        <v>19.75</v>
      </c>
      <c r="E174" s="4">
        <v>20.75</v>
      </c>
      <c r="F174" s="4">
        <v>19.059999999999999</v>
      </c>
      <c r="G174" s="4">
        <v>18.07</v>
      </c>
      <c r="H174" s="4">
        <v>18.25</v>
      </c>
      <c r="I174" s="4">
        <v>18.559999999999999</v>
      </c>
      <c r="J174" s="4">
        <v>20.84</v>
      </c>
      <c r="K174" s="4">
        <v>21</v>
      </c>
      <c r="L174" s="4">
        <v>21</v>
      </c>
      <c r="M174" s="4">
        <v>21.04</v>
      </c>
      <c r="N174" s="4">
        <v>19.87</v>
      </c>
      <c r="O174" s="4">
        <v>21.31</v>
      </c>
      <c r="P174" s="4">
        <v>21.64</v>
      </c>
      <c r="Q174" s="4">
        <v>21.51</v>
      </c>
      <c r="R174" s="4">
        <v>20.399999999999999</v>
      </c>
      <c r="S174" s="4">
        <v>19.28</v>
      </c>
      <c r="T174" s="4">
        <v>19.04</v>
      </c>
      <c r="U174" s="4">
        <v>18.34</v>
      </c>
      <c r="V174" s="4">
        <v>17.850000000000001</v>
      </c>
      <c r="W174" s="4">
        <v>18.37</v>
      </c>
      <c r="X174" s="4">
        <v>18.190000000000001</v>
      </c>
      <c r="Y174" s="4">
        <v>17.02</v>
      </c>
      <c r="Z174" s="4">
        <v>16.96</v>
      </c>
      <c r="AA174" s="4">
        <v>16.5</v>
      </c>
      <c r="AB174" s="4">
        <v>17.73</v>
      </c>
      <c r="AC174" s="4">
        <v>16.66</v>
      </c>
      <c r="AD174" s="4">
        <v>16.91</v>
      </c>
      <c r="AE174" s="4">
        <v>16.54</v>
      </c>
      <c r="AF174" s="4">
        <v>15.88</v>
      </c>
      <c r="AG174" s="4">
        <v>16.059999999999999</v>
      </c>
      <c r="AH174" s="4">
        <v>15.27</v>
      </c>
      <c r="AI174" s="4">
        <v>15.78</v>
      </c>
      <c r="AJ174" s="4">
        <v>16.43</v>
      </c>
      <c r="AK174" s="4">
        <v>16.36</v>
      </c>
      <c r="AL174" s="4">
        <v>16.690000000000001</v>
      </c>
      <c r="AM174" s="4">
        <v>15.68</v>
      </c>
      <c r="AN174" s="4">
        <v>15.87</v>
      </c>
      <c r="AO174" s="4">
        <v>15.38</v>
      </c>
      <c r="AP174" s="4">
        <v>15.58</v>
      </c>
      <c r="AQ174" s="4">
        <v>16.14</v>
      </c>
      <c r="AR174" s="4">
        <v>15.89</v>
      </c>
      <c r="AS174" s="4">
        <v>15.84</v>
      </c>
      <c r="AT174" s="4">
        <v>16.350000000000001</v>
      </c>
      <c r="AU174" s="4">
        <v>16.324999999999999</v>
      </c>
      <c r="AV174" s="4">
        <v>16.760000000000002</v>
      </c>
      <c r="AW174" s="4">
        <v>14.35</v>
      </c>
      <c r="AX174" s="4">
        <v>13.52</v>
      </c>
      <c r="AY174" s="12">
        <v>14.04</v>
      </c>
      <c r="AZ174" s="12">
        <v>13.56</v>
      </c>
      <c r="BA174" s="12">
        <v>12.84</v>
      </c>
      <c r="BB174" s="15">
        <v>13.47</v>
      </c>
      <c r="BC174" s="52">
        <v>15.08</v>
      </c>
      <c r="BD174" s="52">
        <v>13.97</v>
      </c>
      <c r="BE174" s="52">
        <v>14.47</v>
      </c>
      <c r="BF174" s="52">
        <v>14.5</v>
      </c>
      <c r="BG174" s="67">
        <v>15.56</v>
      </c>
      <c r="BH174" s="52">
        <v>15.79</v>
      </c>
      <c r="BI174" s="52">
        <v>14.33</v>
      </c>
      <c r="BJ174" s="52">
        <v>14.69</v>
      </c>
      <c r="BK174" s="52">
        <v>14.47</v>
      </c>
      <c r="BL174" s="52" cm="1">
        <f t="array" aca="1" ref="BL174" ca="1">_FV(EC174,"Preço")</f>
        <v>14.47</v>
      </c>
      <c r="BM174" s="69" t="s">
        <v>170</v>
      </c>
      <c r="BN174" s="36" cm="1">
        <f t="array" aca="1" ref="BN174" ca="1">_FV(EC174,"Média de volume",TRUE)</f>
        <v>2403570</v>
      </c>
      <c r="BO174" s="36">
        <v>4711600</v>
      </c>
      <c r="BP174" s="36" cm="1">
        <f t="array" aca="1" ref="BP174" ca="1">_FV(EC174,"Volume")</f>
        <v>4711600</v>
      </c>
      <c r="BQ174" s="24" cm="1">
        <f t="array" aca="1" ref="BQ174" ca="1">_FV(EC174,"Beta")</f>
        <v>0.83250000000000002</v>
      </c>
      <c r="BR174" s="71" cm="1">
        <f t="array" aca="1" ref="BR174" ca="1">_FV(EC174,"Variação (%)",TRUE)</f>
        <v>3.5049999999999998E-2</v>
      </c>
      <c r="BT174" s="17" cm="1">
        <f t="array" aca="1" ref="BT174" ca="1">_FV(EC174,"Baixo")</f>
        <v>13.95</v>
      </c>
      <c r="BU174" s="17" cm="1">
        <f t="array" aca="1" ref="BU174" ca="1">_FV(EC174,"Alto")</f>
        <v>14.52</v>
      </c>
      <c r="BV174" s="24"/>
      <c r="BW174" s="63">
        <f ca="1">SQRT(22.5*(BL174/VLOOKUP(BM174,Fundamentus!A:U,3,FALSE))*(BL174/VLOOKUP(BM174,Fundamentus!A:U,4,FALSE)))</f>
        <v>23.689712312407742</v>
      </c>
      <c r="BY174" s="62">
        <f t="shared" ca="1" si="168"/>
        <v>0</v>
      </c>
      <c r="BZ174" s="8"/>
      <c r="CA174" s="61">
        <f t="shared" si="169"/>
        <v>12.84</v>
      </c>
      <c r="CB174" s="61">
        <f t="shared" si="170"/>
        <v>21.64</v>
      </c>
      <c r="CC174" s="61">
        <f t="shared" si="171"/>
        <v>17.193571428571428</v>
      </c>
      <c r="CD174" s="14"/>
      <c r="CE174" s="35">
        <f t="shared" si="154"/>
        <v>13.502458791955538</v>
      </c>
      <c r="CF174" s="15">
        <f t="shared" si="172"/>
        <v>14.640000000000327</v>
      </c>
      <c r="CG174" s="35">
        <f t="shared" si="155"/>
        <v>15.777541208045117</v>
      </c>
      <c r="CI174" s="14"/>
      <c r="CJ174" s="17">
        <f t="shared" si="156"/>
        <v>2.34</v>
      </c>
      <c r="CK174" s="17">
        <f t="shared" si="157"/>
        <v>7.59</v>
      </c>
      <c r="CL174" s="17">
        <f t="shared" si="158"/>
        <v>11.14</v>
      </c>
      <c r="CM174" s="38">
        <f t="shared" si="173"/>
        <v>16.39</v>
      </c>
      <c r="CN174" s="17">
        <f t="shared" si="159"/>
        <v>19.940000000000001</v>
      </c>
      <c r="CO174" s="17">
        <f t="shared" si="160"/>
        <v>25.19</v>
      </c>
      <c r="CP174" s="17">
        <f t="shared" si="161"/>
        <v>28.740000000000002</v>
      </c>
      <c r="CQ174" s="2" cm="1">
        <f t="array" aca="1" ref="CQ174" ca="1">MAX(_xlfn._xlws.FILTER(CJ174:CP174,CJ174:CP174&lt;BL174))</f>
        <v>11.14</v>
      </c>
      <c r="CR174" s="2" cm="1">
        <f t="array" aca="1" ref="CR174" ca="1">MIN(_xlfn._xlws.FILTER($CJ174:$CP174,$CJ174:$CP174&gt;BL174))</f>
        <v>16.39</v>
      </c>
      <c r="CS174" s="16">
        <f t="shared" ca="1" si="175"/>
        <v>0.47127468581687615</v>
      </c>
      <c r="CT174" s="20">
        <f t="shared" ca="1" si="176"/>
        <v>-0.23563734290843807</v>
      </c>
      <c r="CU174" s="20">
        <f t="shared" ca="1" si="177"/>
        <v>-0.15709156193895871</v>
      </c>
      <c r="CV174" s="20">
        <f t="shared" ca="1" si="178"/>
        <v>-9.4254937163375227E-2</v>
      </c>
      <c r="CW174" s="20">
        <f t="shared" ca="1" si="179"/>
        <v>-5.2363853979652902E-2</v>
      </c>
      <c r="CX174" s="20">
        <f t="shared" ca="1" si="180"/>
        <v>-2.7722040342169185E-2</v>
      </c>
      <c r="CY174" s="20">
        <f t="shared" ca="1" si="181"/>
        <v>-1.4281051085359884E-2</v>
      </c>
      <c r="CZ174" s="20">
        <f t="shared" ca="1" si="182"/>
        <v>-7.2503797817980945E-3</v>
      </c>
      <c r="DA174" s="21">
        <f t="shared" ca="1" si="183"/>
        <v>7.2503797817980945E-3</v>
      </c>
      <c r="DB174" s="21">
        <f t="shared" ca="1" si="184"/>
        <v>1.4281051085359884E-2</v>
      </c>
      <c r="DC174" s="21">
        <f t="shared" ca="1" si="185"/>
        <v>2.7722040342169185E-2</v>
      </c>
      <c r="DD174" s="21">
        <f t="shared" ca="1" si="186"/>
        <v>5.2363853979652902E-2</v>
      </c>
      <c r="DE174" s="21">
        <f t="shared" ca="1" si="187"/>
        <v>9.4254937163375227E-2</v>
      </c>
      <c r="DF174" s="21">
        <f t="shared" ca="1" si="188"/>
        <v>0.15709156193895871</v>
      </c>
      <c r="DG174" s="21">
        <f t="shared" ca="1" si="189"/>
        <v>0.23563734290843807</v>
      </c>
      <c r="DI174" s="16" cm="1">
        <f t="array" aca="1" ref="DI174" ca="1">MAX(_xlfn._xlws.FILTER(CT174:DG174,CT174:DG174&lt;BR174))</f>
        <v>2.7722040342169185E-2</v>
      </c>
      <c r="DJ174" s="16" cm="1">
        <f t="array" aca="1" ref="DJ174" ca="1">MIN(_xlfn._xlws.FILTER(CT174:DG174,CT174:DG174&gt;BR174))</f>
        <v>5.2363853979652902E-2</v>
      </c>
      <c r="DK174" s="2" cm="1">
        <f t="array" aca="1" ref="DK174" ca="1">_FV(EC174,"Fechamento anterior",TRUE)</f>
        <v>13.98</v>
      </c>
      <c r="DL174" s="28">
        <f t="shared" ca="1" si="162"/>
        <v>0.29738197424892671</v>
      </c>
      <c r="DM174" s="15">
        <f t="shared" ca="1" si="190"/>
        <v>14.367554123983526</v>
      </c>
      <c r="DN174" s="15">
        <f t="shared" ca="1" si="191"/>
        <v>14.712046678635549</v>
      </c>
      <c r="DO174" s="9"/>
      <c r="DP174" s="9"/>
      <c r="DQ174" s="9"/>
      <c r="DR174" s="89">
        <v>1.8183234248033441E-2</v>
      </c>
      <c r="DS174" s="89">
        <v>2.2128532869347947E-2</v>
      </c>
      <c r="DT174" s="89">
        <v>1.4500759563596189E-2</v>
      </c>
      <c r="DU174" s="89">
        <v>2.4641813637483717E-2</v>
      </c>
      <c r="DV174" s="89">
        <f t="shared" ca="1" si="163"/>
        <v>2.4641813637483717E-2</v>
      </c>
      <c r="DW174" s="72">
        <f t="shared" ca="1" si="164"/>
        <v>-0.14944513552394603</v>
      </c>
      <c r="DX174" s="37"/>
      <c r="DY174" s="35">
        <f t="shared" si="174"/>
        <v>0.56877060402239477</v>
      </c>
      <c r="DZ174" s="56"/>
      <c r="EA174" s="56"/>
      <c r="EC174" s="2" t="e" vm="176">
        <v>#VALUE!</v>
      </c>
      <c r="EE174" s="10" cm="1">
        <f t="array" aca="1" ref="EE174" ca="1">_FV(EC174,"Ações em circulação",TRUE)</f>
        <v>293472100</v>
      </c>
      <c r="EF174" s="18">
        <f>VLOOKUP(BM174,Fundamentus!A:U,5,FALSE)</f>
        <v>1.351</v>
      </c>
      <c r="EG174" s="2">
        <f t="shared" ca="1" si="165"/>
        <v>3143257799.407846</v>
      </c>
      <c r="EH174" s="17">
        <v>516122930.66276836</v>
      </c>
      <c r="EI174" s="17">
        <f t="shared" ca="1" si="166"/>
        <v>516122930.66276836</v>
      </c>
      <c r="EK174" s="16">
        <f t="shared" ca="1" si="153"/>
        <v>0</v>
      </c>
      <c r="EL174" s="32" t="str">
        <f>IF(VLOOKUP(BM174,Fundamentus!A:U,3,FALSE)&lt;15,"Bom",IF(VLOOKUP(BM174,Fundamentus!A:U,3,FALSE)&gt;15,"Ruim","n/a"))</f>
        <v>Bom</v>
      </c>
      <c r="EM174" s="28" t="str">
        <f>IF(VLOOKUP(BM174,Fundamentus!A:U,4,FALSE)&lt;1,"Baixo",IF(VLOOKUP(BM174,Fundamentus!A:U,4,FALSE)&lt;1.5,"Moderado",IF(VLOOKUP(BM174,Fundamentus!A:U,4,FALSE)&gt;1.5,"Alto","n/a")))</f>
        <v>Moderado</v>
      </c>
      <c r="EN174" s="17" t="str">
        <f>IF(VLOOKUP(BM174,Fundamentus!A:U,8,FALSE)&lt;0,"Risco elevado",IF(VLOOKUP(BM174,Fundamentus!A:U,8,FALSE)&lt;1,"Saudável",IF(VLOOKUP(BM174,Fundamentus!A:U,8,FALSE)&lt;3,"Estável",IF(VLOOKUP(BM174,Fundamentus!A:U,8,FALSE)&gt;3,"Alerta","n/a"))))</f>
        <v>Alerta</v>
      </c>
      <c r="EO174" s="28" t="str">
        <f t="shared" si="167"/>
        <v>Bom</v>
      </c>
      <c r="EP174" s="17" t="str">
        <f>IF(VLOOKUP(BM174,Fundamentus!A:U,12,FALSE)&lt;2,"Subvalorizada",IF(VLOOKUP(BM174,Fundamentus!A:U,12,FALSE)&lt;6,"Muita barata",IF(VLOOKUP(BM174,Fundamentus!A:U,12,FALSE)&lt;6,"Barata",IF(VLOOKUP(BM174,Fundamentus!A:U,12,FALSE)&lt;8,"Atrativa",IF(VLOOKUP(BM174,Fundamentus!A:U,12,FALSE)&gt;8,"Supervalorizada","n/a")))))</f>
        <v>Muita barata</v>
      </c>
      <c r="ER174" s="17" t="str">
        <f>IF(VLOOKUP(BM174,Fundamentus!A:U,17,FALSE)&lt;0.1,"Fraco retorno",IF(VLOOKUP(BM174,Fundamentus!A:U,17,FALSE)&gt;0.1,"Bom retorno","n/a"))</f>
        <v>Bom retorno</v>
      </c>
      <c r="ES174" s="17" t="str">
        <f>IF(VLOOKUP(BM174,Fundamentus!A:U,16,FALSE)&lt;0.1,"Ineficiente",IF(VLOOKUP(BM174,Fundamentus!A:U,16,FALSE)&gt;0.1,"Eficiente","n/a"))</f>
        <v>Eficiente</v>
      </c>
      <c r="ET174" s="33" t="str">
        <f>IF(VLOOKUP(BM174,Fundamentus!A:U,16,FALSE)&lt;0.1,"Oper. Ineficiente",IF(VLOOKUP(BM174,Fundamentus!A:U,16,FALSE)&gt;0.1,"Oper.Eficiente","n/a"))</f>
        <v>Oper.Eficiente</v>
      </c>
      <c r="EU174" s="34">
        <f>VLOOKUP(BM174,Fundamentus!A:U,14,FALSE)</f>
        <v>0.16420000000000001</v>
      </c>
      <c r="EV174" s="17" t="str">
        <f>IF(VLOOKUP(BM174,Fundamentus!A:U,21,FALSE)&lt;0,"Negativo",IF(VLOOKUP(BM174,Fundamentus!A:U,21,FALSE)&lt;0.05,"Fraco",IF(VLOOKUP(BM174,Fundamentus!A:U,21,FALSE)&lt;0.1,"Bom",IF(VLOOKUP(BM174,Fundamentus!A:U,21,FALSE)&gt;0.1,"Muito bom","n/a"))))</f>
        <v>Muito bom</v>
      </c>
      <c r="EX174" s="29" t="str">
        <f>IF(VLOOKUP(BM174,Fundamentus!A:U,15,FALSE)&gt;1,"Bom",IF(VLOOKUP(BM174,Fundamentus!A:U,15,FALSE)&lt;1,"Ruim","n/a"))</f>
        <v>Bom</v>
      </c>
      <c r="EY174" s="17" t="str">
        <f>IF(VLOOKUP(BM174,Fundamentus!A:U,20,FALSE)&lt;0.5,"Baixa",IF(VLOOKUP(BM174,Fundamentus!A:U,20,FALSE)&lt;1,"Moderada",IF(VLOOKUP(BM174,Fundamentus!A:U,20,FALSE)&lt;2,"Alerta",IF(VLOOKUP(BM174,Fundamentus!A:U,20,FALSE)&gt;2,"Alta","n/a"))))</f>
        <v>Baixa</v>
      </c>
      <c r="EZ174" s="10"/>
    </row>
    <row r="175" spans="1:156" s="2" customFormat="1" ht="11.25" x14ac:dyDescent="0.2">
      <c r="A175" s="4">
        <v>13.03</v>
      </c>
      <c r="B175" s="4">
        <v>12.34</v>
      </c>
      <c r="C175" s="4">
        <v>12.26</v>
      </c>
      <c r="D175" s="4">
        <v>11.73</v>
      </c>
      <c r="E175" s="4">
        <v>11.03</v>
      </c>
      <c r="F175" s="4">
        <v>11</v>
      </c>
      <c r="G175" s="4">
        <v>10.38</v>
      </c>
      <c r="H175" s="4">
        <v>10.65</v>
      </c>
      <c r="I175" s="4">
        <v>11.08</v>
      </c>
      <c r="J175" s="4">
        <v>13.08</v>
      </c>
      <c r="K175" s="4">
        <v>13.61</v>
      </c>
      <c r="L175" s="4">
        <v>13.11</v>
      </c>
      <c r="M175" s="4">
        <v>13.81</v>
      </c>
      <c r="N175" s="4">
        <v>13.93</v>
      </c>
      <c r="O175" s="4">
        <v>14.93</v>
      </c>
      <c r="P175" s="4">
        <v>14.51</v>
      </c>
      <c r="Q175" s="4">
        <v>14.84</v>
      </c>
      <c r="R175" s="4">
        <v>14.25</v>
      </c>
      <c r="S175" s="4">
        <v>15.08</v>
      </c>
      <c r="T175" s="4">
        <v>14.81</v>
      </c>
      <c r="U175" s="4">
        <v>14.35</v>
      </c>
      <c r="V175" s="4">
        <v>14.2</v>
      </c>
      <c r="W175" s="4">
        <v>15.78</v>
      </c>
      <c r="X175" s="4">
        <v>15.37</v>
      </c>
      <c r="Y175" s="4">
        <v>14.93</v>
      </c>
      <c r="Z175" s="4">
        <v>15.5</v>
      </c>
      <c r="AA175" s="4">
        <v>15.33</v>
      </c>
      <c r="AB175" s="4">
        <v>16.25</v>
      </c>
      <c r="AC175" s="4">
        <v>14.66</v>
      </c>
      <c r="AD175" s="4">
        <v>14.7</v>
      </c>
      <c r="AE175" s="4">
        <v>12.31</v>
      </c>
      <c r="AF175" s="4">
        <v>12.26</v>
      </c>
      <c r="AG175" s="4">
        <v>11.53</v>
      </c>
      <c r="AH175" s="4">
        <v>10.94</v>
      </c>
      <c r="AI175" s="4">
        <v>10.87</v>
      </c>
      <c r="AJ175" s="4">
        <v>10.53</v>
      </c>
      <c r="AK175" s="4">
        <v>10.220000000000001</v>
      </c>
      <c r="AL175" s="4">
        <v>10.8</v>
      </c>
      <c r="AM175" s="4">
        <v>11.38</v>
      </c>
      <c r="AN175" s="4">
        <v>12.64</v>
      </c>
      <c r="AO175" s="4">
        <v>12.11</v>
      </c>
      <c r="AP175" s="4">
        <v>12.7</v>
      </c>
      <c r="AQ175" s="4">
        <v>12.54</v>
      </c>
      <c r="AR175" s="4">
        <v>12.15</v>
      </c>
      <c r="AS175" s="4">
        <v>12.8</v>
      </c>
      <c r="AT175" s="4">
        <v>13.14</v>
      </c>
      <c r="AU175" s="4">
        <v>13.904999999999999</v>
      </c>
      <c r="AV175" s="4">
        <v>14.53</v>
      </c>
      <c r="AW175" s="4">
        <v>15.32</v>
      </c>
      <c r="AX175" s="4">
        <v>15.47</v>
      </c>
      <c r="AY175" s="12">
        <v>15.04</v>
      </c>
      <c r="AZ175" s="12">
        <v>16.399999999999999</v>
      </c>
      <c r="BA175" s="12">
        <v>16.46</v>
      </c>
      <c r="BB175" s="15">
        <v>16.47</v>
      </c>
      <c r="BC175" s="52">
        <v>19.46</v>
      </c>
      <c r="BD175" s="52">
        <v>18.5</v>
      </c>
      <c r="BE175" s="52">
        <v>20.66</v>
      </c>
      <c r="BF175" s="52">
        <v>23</v>
      </c>
      <c r="BG175" s="67">
        <v>22.7</v>
      </c>
      <c r="BH175" s="52">
        <v>21.28</v>
      </c>
      <c r="BI175" s="52">
        <v>21.89</v>
      </c>
      <c r="BJ175" s="52">
        <v>24.2</v>
      </c>
      <c r="BK175" s="52">
        <v>23.22</v>
      </c>
      <c r="BL175" s="52" cm="1">
        <f t="array" aca="1" ref="BL175" ca="1">_FV(EC175,"Preço")</f>
        <v>23.22</v>
      </c>
      <c r="BM175" s="69" t="s">
        <v>171</v>
      </c>
      <c r="BN175" s="36" cm="1">
        <f t="array" aca="1" ref="BN175" ca="1">_FV(EC175,"Média de volume",TRUE)</f>
        <v>853570</v>
      </c>
      <c r="BO175" s="36">
        <v>349300</v>
      </c>
      <c r="BP175" s="36" cm="1">
        <f t="array" aca="1" ref="BP175" ca="1">_FV(EC175,"Volume")</f>
        <v>349300</v>
      </c>
      <c r="BQ175" s="24" cm="1">
        <f t="array" aca="1" ref="BQ175" ca="1">_FV(EC175,"Beta")</f>
        <v>1.6946000000000001</v>
      </c>
      <c r="BR175" s="71" cm="1">
        <f t="array" aca="1" ref="BR175" ca="1">_FV(EC175,"Variação (%)",TRUE)</f>
        <v>-1.6102000000000002E-2</v>
      </c>
      <c r="BT175" s="17" cm="1">
        <f t="array" aca="1" ref="BT175" ca="1">_FV(EC175,"Baixo")</f>
        <v>23.15</v>
      </c>
      <c r="BU175" s="17" cm="1">
        <f t="array" aca="1" ref="BU175" ca="1">_FV(EC175,"Alto")</f>
        <v>23.69</v>
      </c>
      <c r="BV175" s="24"/>
      <c r="BW175" s="63">
        <f ca="1">SQRT(22.5*(BL175/VLOOKUP(BM175,Fundamentus!A:U,3,FALSE))*(BL175/VLOOKUP(BM175,Fundamentus!A:U,4,FALSE)))</f>
        <v>38.277036480625434</v>
      </c>
      <c r="BY175" s="62">
        <f t="shared" ca="1" si="168"/>
        <v>0</v>
      </c>
      <c r="BZ175" s="8"/>
      <c r="CA175" s="61">
        <f t="shared" si="169"/>
        <v>10.220000000000001</v>
      </c>
      <c r="CB175" s="61">
        <f t="shared" si="170"/>
        <v>24.2</v>
      </c>
      <c r="CC175" s="61">
        <f t="shared" si="171"/>
        <v>14.570714285714287</v>
      </c>
      <c r="CD175" s="14"/>
      <c r="CE175" s="35">
        <f t="shared" si="154"/>
        <v>21.177558332019618</v>
      </c>
      <c r="CF175" s="15">
        <f t="shared" si="172"/>
        <v>23.054000000000087</v>
      </c>
      <c r="CG175" s="35">
        <f t="shared" si="155"/>
        <v>24.930441667980556</v>
      </c>
      <c r="CI175" s="14"/>
      <c r="CJ175" s="17">
        <f t="shared" si="156"/>
        <v>0.90000000000000746</v>
      </c>
      <c r="CK175" s="17">
        <f t="shared" si="157"/>
        <v>5.5600000000000041</v>
      </c>
      <c r="CL175" s="17">
        <f t="shared" si="158"/>
        <v>14.880000000000006</v>
      </c>
      <c r="CM175" s="38">
        <f t="shared" si="173"/>
        <v>19.540000000000003</v>
      </c>
      <c r="CN175" s="17">
        <f t="shared" si="159"/>
        <v>28.860000000000007</v>
      </c>
      <c r="CO175" s="17">
        <f t="shared" si="160"/>
        <v>33.520000000000003</v>
      </c>
      <c r="CP175" s="17">
        <f t="shared" si="161"/>
        <v>42.84</v>
      </c>
      <c r="CQ175" s="2" cm="1">
        <f t="array" aca="1" ref="CQ175" ca="1">MAX(_xlfn._xlws.FILTER(CJ175:CP175,CJ175:CP175&lt;BL175))</f>
        <v>19.540000000000003</v>
      </c>
      <c r="CR175" s="2" cm="1">
        <f t="array" aca="1" ref="CR175" ca="1">MIN(_xlfn._xlws.FILTER($CJ175:$CP175,$CJ175:$CP175&gt;BL175))</f>
        <v>28.860000000000007</v>
      </c>
      <c r="CS175" s="16">
        <f t="shared" ca="1" si="175"/>
        <v>0.47697031729785078</v>
      </c>
      <c r="CT175" s="20">
        <f t="shared" ca="1" si="176"/>
        <v>-0.23848515864892539</v>
      </c>
      <c r="CU175" s="20">
        <f t="shared" ca="1" si="177"/>
        <v>-0.15899010576595027</v>
      </c>
      <c r="CV175" s="20">
        <f t="shared" ca="1" si="178"/>
        <v>-9.5394063459570161E-2</v>
      </c>
      <c r="CW175" s="20">
        <f t="shared" ca="1" si="179"/>
        <v>-5.299670192198342E-2</v>
      </c>
      <c r="CX175" s="20">
        <f t="shared" ca="1" si="180"/>
        <v>-2.8057077488108869E-2</v>
      </c>
      <c r="CY175" s="20">
        <f t="shared" ca="1" si="181"/>
        <v>-1.4453645978722751E-2</v>
      </c>
      <c r="CZ175" s="20">
        <f t="shared" ca="1" si="182"/>
        <v>-7.3380048815053969E-3</v>
      </c>
      <c r="DA175" s="21">
        <f t="shared" ca="1" si="183"/>
        <v>7.3380048815053969E-3</v>
      </c>
      <c r="DB175" s="21">
        <f t="shared" ca="1" si="184"/>
        <v>1.4453645978722751E-2</v>
      </c>
      <c r="DC175" s="21">
        <f t="shared" ca="1" si="185"/>
        <v>2.8057077488108869E-2</v>
      </c>
      <c r="DD175" s="21">
        <f t="shared" ca="1" si="186"/>
        <v>5.299670192198342E-2</v>
      </c>
      <c r="DE175" s="21">
        <f t="shared" ca="1" si="187"/>
        <v>9.5394063459570161E-2</v>
      </c>
      <c r="DF175" s="21">
        <f t="shared" ca="1" si="188"/>
        <v>0.15899010576595027</v>
      </c>
      <c r="DG175" s="21">
        <f t="shared" ca="1" si="189"/>
        <v>0.23848515864892539</v>
      </c>
      <c r="DI175" s="16" cm="1">
        <f t="array" aca="1" ref="DI175" ca="1">MAX(_xlfn._xlws.FILTER(CT175:DG175,CT175:DG175&lt;BR175))</f>
        <v>-2.8057077488108869E-2</v>
      </c>
      <c r="DJ175" s="16" cm="1">
        <f t="array" aca="1" ref="DJ175" ca="1">MIN(_xlfn._xlws.FILTER(CT175:DG175,CT175:DG175&gt;BR175))</f>
        <v>-1.4453645978722751E-2</v>
      </c>
      <c r="DK175" s="2" cm="1">
        <f t="array" aca="1" ref="DK175" ca="1">_FV(EC175,"Fechamento anterior",TRUE)</f>
        <v>23.6</v>
      </c>
      <c r="DL175" s="28">
        <f t="shared" ca="1" si="162"/>
        <v>0.87885049919981617</v>
      </c>
      <c r="DM175" s="15">
        <f t="shared" ca="1" si="190"/>
        <v>22.93785297128063</v>
      </c>
      <c r="DN175" s="15">
        <f t="shared" ca="1" si="191"/>
        <v>23.258893954902145</v>
      </c>
      <c r="DO175" s="9"/>
      <c r="DP175" s="9"/>
      <c r="DQ175" s="9"/>
      <c r="DR175" s="89">
        <v>1.9235809891011174E-2</v>
      </c>
      <c r="DS175" s="89">
        <v>1.3898976559920768E-2</v>
      </c>
      <c r="DT175" s="89">
        <v>2.4939624433874551E-2</v>
      </c>
      <c r="DU175" s="89">
        <v>1.3603431509386118E-2</v>
      </c>
      <c r="DV175" s="89">
        <f t="shared" ca="1" si="163"/>
        <v>1.3603431509386118E-2</v>
      </c>
      <c r="DW175" s="72">
        <f t="shared" ca="1" si="164"/>
        <v>8.8465313274869881E-2</v>
      </c>
      <c r="DX175" s="37"/>
      <c r="DY175" s="35">
        <f t="shared" si="174"/>
        <v>0.93822083399023504</v>
      </c>
      <c r="DZ175" s="56"/>
      <c r="EA175" s="56"/>
      <c r="EC175" s="2" t="e" vm="177">
        <v>#VALUE!</v>
      </c>
      <c r="EE175" s="10" cm="1">
        <f t="array" aca="1" ref="EE175" ca="1">_FV(EC175,"Ações em circulação",TRUE)</f>
        <v>84909370</v>
      </c>
      <c r="EF175" s="18">
        <f>VLOOKUP(BM175,Fundamentus!A:U,5,FALSE)</f>
        <v>1.133</v>
      </c>
      <c r="EG175" s="2">
        <f t="shared" ca="1" si="165"/>
        <v>1740154961.5180933</v>
      </c>
      <c r="EH175" s="17">
        <v>285733444.68127096</v>
      </c>
      <c r="EI175" s="17">
        <f t="shared" ca="1" si="166"/>
        <v>285733444.68127096</v>
      </c>
      <c r="EK175" s="16">
        <f t="shared" ca="1" si="153"/>
        <v>0</v>
      </c>
      <c r="EL175" s="32" t="str">
        <f>IF(VLOOKUP(BM175,Fundamentus!A:U,3,FALSE)&lt;15,"Bom",IF(VLOOKUP(BM175,Fundamentus!A:U,3,FALSE)&gt;15,"Ruim","n/a"))</f>
        <v>Bom</v>
      </c>
      <c r="EM175" s="28" t="str">
        <f>IF(VLOOKUP(BM175,Fundamentus!A:U,4,FALSE)&lt;1,"Baixo",IF(VLOOKUP(BM175,Fundamentus!A:U,4,FALSE)&lt;1.5,"Moderado",IF(VLOOKUP(BM175,Fundamentus!A:U,4,FALSE)&gt;1.5,"Alto","n/a")))</f>
        <v>Moderado</v>
      </c>
      <c r="EN175" s="17" t="str">
        <f>IF(VLOOKUP(BM175,Fundamentus!A:U,8,FALSE)&lt;0,"Risco elevado",IF(VLOOKUP(BM175,Fundamentus!A:U,8,FALSE)&lt;1,"Saudável",IF(VLOOKUP(BM175,Fundamentus!A:U,8,FALSE)&lt;3,"Estável",IF(VLOOKUP(BM175,Fundamentus!A:U,8,FALSE)&gt;3,"Alerta","n/a"))))</f>
        <v>Estável</v>
      </c>
      <c r="EO175" s="28" t="str">
        <f t="shared" si="167"/>
        <v>Bom</v>
      </c>
      <c r="EP175" s="17" t="str">
        <f>IF(VLOOKUP(BM175,Fundamentus!A:U,12,FALSE)&lt;2,"Subvalorizada",IF(VLOOKUP(BM175,Fundamentus!A:U,12,FALSE)&lt;6,"Muita barata",IF(VLOOKUP(BM175,Fundamentus!A:U,12,FALSE)&lt;6,"Barata",IF(VLOOKUP(BM175,Fundamentus!A:U,12,FALSE)&lt;8,"Atrativa",IF(VLOOKUP(BM175,Fundamentus!A:U,12,FALSE)&gt;8,"Supervalorizada","n/a")))))</f>
        <v>Atrativa</v>
      </c>
      <c r="ER175" s="17" t="str">
        <f>IF(VLOOKUP(BM175,Fundamentus!A:U,17,FALSE)&lt;0.1,"Fraco retorno",IF(VLOOKUP(BM175,Fundamentus!A:U,17,FALSE)&gt;0.1,"Bom retorno","n/a"))</f>
        <v>Bom retorno</v>
      </c>
      <c r="ES175" s="17" t="str">
        <f>IF(VLOOKUP(BM175,Fundamentus!A:U,16,FALSE)&lt;0.1,"Ineficiente",IF(VLOOKUP(BM175,Fundamentus!A:U,16,FALSE)&gt;0.1,"Eficiente","n/a"))</f>
        <v>Ineficiente</v>
      </c>
      <c r="ET175" s="33" t="str">
        <f>IF(VLOOKUP(BM175,Fundamentus!A:U,16,FALSE)&lt;0.1,"Oper. Ineficiente",IF(VLOOKUP(BM175,Fundamentus!A:U,16,FALSE)&gt;0.1,"Oper.Eficiente","n/a"))</f>
        <v>Oper. Ineficiente</v>
      </c>
      <c r="EU175" s="34">
        <f>VLOOKUP(BM175,Fundamentus!A:U,14,FALSE)</f>
        <v>0.16420000000000001</v>
      </c>
      <c r="EV175" s="17" t="str">
        <f>IF(VLOOKUP(BM175,Fundamentus!A:U,21,FALSE)&lt;0,"Negativo",IF(VLOOKUP(BM175,Fundamentus!A:U,21,FALSE)&lt;0.05,"Fraco",IF(VLOOKUP(BM175,Fundamentus!A:U,21,FALSE)&lt;0.1,"Bom",IF(VLOOKUP(BM175,Fundamentus!A:U,21,FALSE)&gt;0.1,"Muito bom","n/a"))))</f>
        <v>Muito bom</v>
      </c>
      <c r="EX175" s="29" t="str">
        <f>IF(VLOOKUP(BM175,Fundamentus!A:U,15,FALSE)&gt;1,"Bom",IF(VLOOKUP(BM175,Fundamentus!A:U,15,FALSE)&lt;1,"Ruim","n/a"))</f>
        <v>Bom</v>
      </c>
      <c r="EY175" s="17" t="str">
        <f>IF(VLOOKUP(BM175,Fundamentus!A:U,20,FALSE)&lt;0.5,"Baixa",IF(VLOOKUP(BM175,Fundamentus!A:U,20,FALSE)&lt;1,"Moderada",IF(VLOOKUP(BM175,Fundamentus!A:U,20,FALSE)&lt;2,"Alerta",IF(VLOOKUP(BM175,Fundamentus!A:U,20,FALSE)&gt;2,"Alta","n/a"))))</f>
        <v>Baixa</v>
      </c>
      <c r="EZ175" s="10"/>
    </row>
    <row r="176" spans="1:156" s="2" customFormat="1" ht="11.25" x14ac:dyDescent="0.2">
      <c r="A176" s="4">
        <v>0.5</v>
      </c>
      <c r="B176" s="4">
        <v>0.5</v>
      </c>
      <c r="C176" s="4">
        <v>0.37</v>
      </c>
      <c r="D176" s="4">
        <v>0.37</v>
      </c>
      <c r="E176" s="4">
        <v>1.1499999999999999</v>
      </c>
      <c r="F176" s="4">
        <v>1.1599999999999999</v>
      </c>
      <c r="G176" s="4">
        <v>1.18</v>
      </c>
      <c r="H176" s="4">
        <v>1</v>
      </c>
      <c r="I176" s="4">
        <v>1.17</v>
      </c>
      <c r="J176" s="4">
        <v>1.0900000000000001</v>
      </c>
      <c r="K176" s="4">
        <v>1.1599999999999999</v>
      </c>
      <c r="L176" s="4">
        <v>1.02</v>
      </c>
      <c r="M176" s="4">
        <v>1.05</v>
      </c>
      <c r="N176" s="4">
        <v>0.88</v>
      </c>
      <c r="O176" s="4">
        <v>0.9</v>
      </c>
      <c r="P176" s="4">
        <v>0.8</v>
      </c>
      <c r="Q176" s="4">
        <v>0.85</v>
      </c>
      <c r="R176" s="4">
        <v>0.9</v>
      </c>
      <c r="S176" s="4">
        <v>1.07</v>
      </c>
      <c r="T176" s="4">
        <v>1.01</v>
      </c>
      <c r="U176" s="4">
        <v>0.97</v>
      </c>
      <c r="V176" s="4">
        <v>0.95</v>
      </c>
      <c r="W176" s="4">
        <v>0.93</v>
      </c>
      <c r="X176" s="4">
        <v>1.21</v>
      </c>
      <c r="Y176" s="4">
        <v>2.0499999999999998</v>
      </c>
      <c r="Z176" s="4">
        <v>1.71</v>
      </c>
      <c r="AA176" s="4">
        <v>1.93</v>
      </c>
      <c r="AB176" s="4">
        <v>1.9</v>
      </c>
      <c r="AC176" s="4">
        <v>1.64</v>
      </c>
      <c r="AD176" s="4">
        <v>1.81</v>
      </c>
      <c r="AE176" s="4">
        <v>1.6</v>
      </c>
      <c r="AF176" s="4">
        <v>1.61</v>
      </c>
      <c r="AG176" s="4">
        <v>1.35</v>
      </c>
      <c r="AH176" s="4">
        <v>1.22</v>
      </c>
      <c r="AI176" s="4">
        <v>1.1499999999999999</v>
      </c>
      <c r="AJ176" s="4">
        <v>0.89</v>
      </c>
      <c r="AK176" s="4">
        <v>0.74</v>
      </c>
      <c r="AL176" s="4">
        <v>0.73</v>
      </c>
      <c r="AM176" s="4">
        <v>0.69</v>
      </c>
      <c r="AN176" s="4">
        <v>0.66</v>
      </c>
      <c r="AO176" s="4">
        <v>0.66</v>
      </c>
      <c r="AP176" s="4">
        <v>0.74</v>
      </c>
      <c r="AQ176" s="4">
        <v>0.77</v>
      </c>
      <c r="AR176" s="4">
        <v>0.76</v>
      </c>
      <c r="AS176" s="4">
        <v>0.79</v>
      </c>
      <c r="AT176" s="4">
        <v>0.97</v>
      </c>
      <c r="AU176" s="4">
        <v>1.1000000000000001</v>
      </c>
      <c r="AV176" s="4">
        <v>1.21</v>
      </c>
      <c r="AW176" s="4">
        <v>1.35</v>
      </c>
      <c r="AX176" s="4">
        <v>1.39</v>
      </c>
      <c r="AY176" s="12">
        <v>1.35</v>
      </c>
      <c r="AZ176" s="12">
        <v>1.46</v>
      </c>
      <c r="BA176" s="12">
        <v>1.18</v>
      </c>
      <c r="BB176" s="15">
        <v>1.55</v>
      </c>
      <c r="BC176" s="52">
        <v>1.45</v>
      </c>
      <c r="BD176" s="52">
        <v>1.17</v>
      </c>
      <c r="BE176" s="52">
        <v>1.1599999999999999</v>
      </c>
      <c r="BF176" s="52">
        <v>1.03</v>
      </c>
      <c r="BG176" s="67">
        <v>0.98</v>
      </c>
      <c r="BH176" s="52">
        <v>1.02</v>
      </c>
      <c r="BI176" s="52">
        <v>0.96</v>
      </c>
      <c r="BJ176" s="52">
        <v>0.94</v>
      </c>
      <c r="BK176" s="52">
        <v>0.95</v>
      </c>
      <c r="BL176" s="52" cm="1">
        <f t="array" aca="1" ref="BL176" ca="1">_FV(EC176,"Preço")</f>
        <v>0.95</v>
      </c>
      <c r="BM176" s="69" t="s">
        <v>172</v>
      </c>
      <c r="BN176" s="36" cm="1">
        <f t="array" aca="1" ref="BN176" ca="1">_FV(EC176,"Média de volume",TRUE)</f>
        <v>3593990</v>
      </c>
      <c r="BO176" s="36">
        <v>3199400</v>
      </c>
      <c r="BP176" s="36" cm="1">
        <f t="array" aca="1" ref="BP176" ca="1">_FV(EC176,"Volume")</f>
        <v>3199400</v>
      </c>
      <c r="BQ176" s="24" cm="1">
        <f t="array" aca="1" ref="BQ176" ca="1">_FV(EC176,"Beta")</f>
        <v>1.4935</v>
      </c>
      <c r="BR176" s="71" cm="1">
        <f t="array" aca="1" ref="BR176" ca="1">_FV(EC176,"Variação (%)",TRUE)</f>
        <v>0</v>
      </c>
      <c r="BT176" s="17" cm="1">
        <f t="array" aca="1" ref="BT176" ca="1">_FV(EC176,"Baixo")</f>
        <v>0.93</v>
      </c>
      <c r="BU176" s="17" cm="1">
        <f t="array" aca="1" ref="BU176" ca="1">_FV(EC176,"Alto")</f>
        <v>0.96</v>
      </c>
      <c r="BV176" s="24"/>
      <c r="BW176" s="63">
        <f ca="1">SQRT(22.5*(BL176/VLOOKUP(BM176,Fundamentus!A:U,3,FALSE))*(BL176/VLOOKUP(BM176,Fundamentus!A:U,4,FALSE)))</f>
        <v>2.7731924061989868</v>
      </c>
      <c r="BY176" s="62">
        <f t="shared" ca="1" si="168"/>
        <v>0</v>
      </c>
      <c r="BZ176" s="8"/>
      <c r="CA176" s="61">
        <f t="shared" si="169"/>
        <v>0.37</v>
      </c>
      <c r="CB176" s="61">
        <f t="shared" si="170"/>
        <v>2.0499999999999998</v>
      </c>
      <c r="CC176" s="61">
        <f t="shared" si="171"/>
        <v>1.092222222222222</v>
      </c>
      <c r="CD176" s="14"/>
      <c r="CE176" s="35">
        <f t="shared" si="154"/>
        <v>0.88768699489359149</v>
      </c>
      <c r="CF176" s="15">
        <f t="shared" si="172"/>
        <v>0.95599999999998886</v>
      </c>
      <c r="CG176" s="35">
        <f t="shared" si="155"/>
        <v>1.0243130051063862</v>
      </c>
      <c r="CI176" s="14"/>
      <c r="CJ176" s="17">
        <f t="shared" si="156"/>
        <v>-1.4899999999999998</v>
      </c>
      <c r="CK176" s="17">
        <f t="shared" si="157"/>
        <v>-0.55999999999999983</v>
      </c>
      <c r="CL176" s="17">
        <f t="shared" si="158"/>
        <v>0.18999999999999995</v>
      </c>
      <c r="CM176" s="38">
        <f t="shared" si="173"/>
        <v>1.1199999999999999</v>
      </c>
      <c r="CN176" s="17">
        <f t="shared" si="159"/>
        <v>1.8699999999999997</v>
      </c>
      <c r="CO176" s="17">
        <f t="shared" si="160"/>
        <v>2.8</v>
      </c>
      <c r="CP176" s="17">
        <f t="shared" si="161"/>
        <v>3.55</v>
      </c>
      <c r="CQ176" s="2" cm="1">
        <f t="array" aca="1" ref="CQ176" ca="1">MAX(_xlfn._xlws.FILTER(CJ176:CP176,CJ176:CP176&lt;BL176))</f>
        <v>0.18999999999999995</v>
      </c>
      <c r="CR176" s="2" cm="1">
        <f t="array" aca="1" ref="CR176" ca="1">MIN(_xlfn._xlws.FILTER($CJ176:$CP176,$CJ176:$CP176&gt;BL176))</f>
        <v>1.1199999999999999</v>
      </c>
      <c r="CS176" s="16">
        <f t="shared" ca="1" si="175"/>
        <v>4.8947368421052646</v>
      </c>
      <c r="CT176" s="20">
        <f t="shared" ca="1" si="176"/>
        <v>-2.4473684210526323</v>
      </c>
      <c r="CU176" s="20">
        <f t="shared" ca="1" si="177"/>
        <v>-1.6315789473684215</v>
      </c>
      <c r="CV176" s="20">
        <f t="shared" ca="1" si="178"/>
        <v>-0.9789473684210529</v>
      </c>
      <c r="CW176" s="20">
        <f t="shared" ca="1" si="179"/>
        <v>-0.54385964912280715</v>
      </c>
      <c r="CX176" s="20">
        <f t="shared" ca="1" si="180"/>
        <v>-0.28792569659442735</v>
      </c>
      <c r="CY176" s="20">
        <f t="shared" ca="1" si="181"/>
        <v>-0.14832535885167469</v>
      </c>
      <c r="CZ176" s="20">
        <f t="shared" ca="1" si="182"/>
        <v>-7.5303643724696376E-2</v>
      </c>
      <c r="DA176" s="21">
        <f t="shared" ca="1" si="183"/>
        <v>7.5303643724696376E-2</v>
      </c>
      <c r="DB176" s="21">
        <f t="shared" ca="1" si="184"/>
        <v>0.14832535885167469</v>
      </c>
      <c r="DC176" s="21">
        <f t="shared" ca="1" si="185"/>
        <v>0.28792569659442735</v>
      </c>
      <c r="DD176" s="21">
        <f t="shared" ca="1" si="186"/>
        <v>0.54385964912280715</v>
      </c>
      <c r="DE176" s="21">
        <f t="shared" ca="1" si="187"/>
        <v>0.9789473684210529</v>
      </c>
      <c r="DF176" s="21">
        <f t="shared" ca="1" si="188"/>
        <v>1.6315789473684215</v>
      </c>
      <c r="DG176" s="21">
        <f t="shared" ca="1" si="189"/>
        <v>2.4473684210526323</v>
      </c>
      <c r="DI176" s="16" cm="1">
        <f t="array" aca="1" ref="DI176" ca="1">MAX(_xlfn._xlws.FILTER(CT176:DG176,CT176:DG176&lt;BR176))</f>
        <v>-7.5303643724696376E-2</v>
      </c>
      <c r="DJ176" s="16" cm="1">
        <f t="array" aca="1" ref="DJ176" ca="1">MIN(_xlfn._xlws.FILTER(CT176:DG176,CT176:DG176&gt;BR176))</f>
        <v>7.5303643724696376E-2</v>
      </c>
      <c r="DK176" s="2" cm="1">
        <f t="array" aca="1" ref="DK176" ca="1">_FV(EC176,"Fechamento anterior",TRUE)</f>
        <v>0.95</v>
      </c>
      <c r="DL176" s="28">
        <f t="shared" ca="1" si="162"/>
        <v>0.5</v>
      </c>
      <c r="DM176" s="15">
        <f t="shared" ca="1" si="190"/>
        <v>0.8784615384615384</v>
      </c>
      <c r="DN176" s="15">
        <f t="shared" ca="1" si="191"/>
        <v>1.0215384615384615</v>
      </c>
      <c r="DO176" s="9"/>
      <c r="DP176" s="9"/>
      <c r="DQ176" s="9"/>
      <c r="DR176" s="89">
        <v>5.5098934550989367E-2</v>
      </c>
      <c r="DS176" s="89">
        <v>0.13017751479289932</v>
      </c>
      <c r="DT176" s="89">
        <v>0.15060728744939275</v>
      </c>
      <c r="DU176" s="89">
        <v>0.15060728744939275</v>
      </c>
      <c r="DV176" s="89">
        <f t="shared" ca="1" si="163"/>
        <v>0.15060728744939275</v>
      </c>
      <c r="DW176" s="72">
        <f t="shared" ca="1" si="164"/>
        <v>-8.7831006565205483E-2</v>
      </c>
      <c r="DX176" s="37"/>
      <c r="DY176" s="35">
        <f t="shared" si="174"/>
        <v>3.4156502553198693E-2</v>
      </c>
      <c r="DZ176" s="56"/>
      <c r="EA176" s="56"/>
      <c r="EC176" s="2" t="e" vm="178">
        <v>#VALUE!</v>
      </c>
      <c r="EE176" s="10" cm="1">
        <f t="array" aca="1" ref="EE176" ca="1">_FV(EC176,"Ações em circulação",TRUE)</f>
        <v>31822290</v>
      </c>
      <c r="EF176" s="18">
        <f>VLOOKUP(BM176,Fundamentus!A:U,5,FALSE)</f>
        <v>2.86</v>
      </c>
      <c r="EG176" s="2">
        <f t="shared" ca="1" si="165"/>
        <v>10570341.083916085</v>
      </c>
      <c r="EH176" s="17">
        <v>-19727427.564912591</v>
      </c>
      <c r="EI176" s="17">
        <f t="shared" ca="1" si="166"/>
        <v>-19727427.564912591</v>
      </c>
      <c r="EK176" s="16">
        <f t="shared" ca="1" si="153"/>
        <v>0</v>
      </c>
      <c r="EL176" s="32" t="str">
        <f>IF(VLOOKUP(BM176,Fundamentus!A:U,3,FALSE)&lt;15,"Bom",IF(VLOOKUP(BM176,Fundamentus!A:U,3,FALSE)&gt;15,"Ruim","n/a"))</f>
        <v>Bom</v>
      </c>
      <c r="EM176" s="28" t="str">
        <f>IF(VLOOKUP(BM176,Fundamentus!A:U,4,FALSE)&lt;1,"Baixo",IF(VLOOKUP(BM176,Fundamentus!A:U,4,FALSE)&lt;1.5,"Moderado",IF(VLOOKUP(BM176,Fundamentus!A:U,4,FALSE)&gt;1.5,"Alto","n/a")))</f>
        <v>Baixo</v>
      </c>
      <c r="EN176" s="17" t="str">
        <f>IF(VLOOKUP(BM176,Fundamentus!A:U,8,FALSE)&lt;0,"Risco elevado",IF(VLOOKUP(BM176,Fundamentus!A:U,8,FALSE)&lt;1,"Saudável",IF(VLOOKUP(BM176,Fundamentus!A:U,8,FALSE)&lt;3,"Estável",IF(VLOOKUP(BM176,Fundamentus!A:U,8,FALSE)&gt;3,"Alerta","n/a"))))</f>
        <v>Risco elevado</v>
      </c>
      <c r="EO176" s="28" t="str">
        <f t="shared" si="167"/>
        <v>Bom</v>
      </c>
      <c r="EP176" s="17" t="str">
        <f>IF(VLOOKUP(BM176,Fundamentus!A:U,12,FALSE)&lt;2,"Subvalorizada",IF(VLOOKUP(BM176,Fundamentus!A:U,12,FALSE)&lt;6,"Muita barata",IF(VLOOKUP(BM176,Fundamentus!A:U,12,FALSE)&lt;6,"Barata",IF(VLOOKUP(BM176,Fundamentus!A:U,12,FALSE)&lt;8,"Atrativa",IF(VLOOKUP(BM176,Fundamentus!A:U,12,FALSE)&gt;8,"Supervalorizada","n/a")))))</f>
        <v>Subvalorizada</v>
      </c>
      <c r="ER176" s="17" t="str">
        <f>IF(VLOOKUP(BM176,Fundamentus!A:U,17,FALSE)&lt;0.1,"Fraco retorno",IF(VLOOKUP(BM176,Fundamentus!A:U,17,FALSE)&gt;0.1,"Bom retorno","n/a"))</f>
        <v>Bom retorno</v>
      </c>
      <c r="ES176" s="17" t="str">
        <f>IF(VLOOKUP(BM176,Fundamentus!A:U,16,FALSE)&lt;0.1,"Ineficiente",IF(VLOOKUP(BM176,Fundamentus!A:U,16,FALSE)&gt;0.1,"Eficiente","n/a"))</f>
        <v>Ineficiente</v>
      </c>
      <c r="ET176" s="33" t="str">
        <f>IF(VLOOKUP(BM176,Fundamentus!A:U,16,FALSE)&lt;0.1,"Oper. Ineficiente",IF(VLOOKUP(BM176,Fundamentus!A:U,16,FALSE)&gt;0.1,"Oper.Eficiente","n/a"))</f>
        <v>Oper. Ineficiente</v>
      </c>
      <c r="EU176" s="34">
        <f>VLOOKUP(BM176,Fundamentus!A:U,14,FALSE)</f>
        <v>-1.8663000000000001</v>
      </c>
      <c r="EV176" s="17" t="str">
        <f>IF(VLOOKUP(BM176,Fundamentus!A:U,21,FALSE)&lt;0,"Negativo",IF(VLOOKUP(BM176,Fundamentus!A:U,21,FALSE)&lt;0.05,"Fraco",IF(VLOOKUP(BM176,Fundamentus!A:U,21,FALSE)&lt;0.1,"Bom",IF(VLOOKUP(BM176,Fundamentus!A:U,21,FALSE)&gt;0.1,"Muito bom","n/a"))))</f>
        <v>Negativo</v>
      </c>
      <c r="EX176" s="29" t="str">
        <f>IF(VLOOKUP(BM176,Fundamentus!A:U,15,FALSE)&gt;1,"Bom",IF(VLOOKUP(BM176,Fundamentus!A:U,15,FALSE)&lt;1,"Ruim","n/a"))</f>
        <v>Ruim</v>
      </c>
      <c r="EY176" s="17" t="str">
        <f>IF(VLOOKUP(BM176,Fundamentus!A:U,20,FALSE)&lt;0.5,"Baixa",IF(VLOOKUP(BM176,Fundamentus!A:U,20,FALSE)&lt;1,"Moderada",IF(VLOOKUP(BM176,Fundamentus!A:U,20,FALSE)&lt;2,"Alerta",IF(VLOOKUP(BM176,Fundamentus!A:U,20,FALSE)&gt;2,"Alta","n/a"))))</f>
        <v>Baixa</v>
      </c>
      <c r="EZ176" s="10"/>
    </row>
    <row r="177" spans="1:156" s="2" customFormat="1" ht="11.25" x14ac:dyDescent="0.2">
      <c r="A177" s="4">
        <v>3.83</v>
      </c>
      <c r="B177" s="4">
        <v>3.88</v>
      </c>
      <c r="C177" s="4">
        <v>4.0599999999999996</v>
      </c>
      <c r="D177" s="4">
        <v>4.13</v>
      </c>
      <c r="E177" s="4">
        <v>4.24</v>
      </c>
      <c r="F177" s="4">
        <v>4.2</v>
      </c>
      <c r="G177" s="4">
        <v>3.87</v>
      </c>
      <c r="H177" s="4">
        <v>3.68</v>
      </c>
      <c r="I177" s="4">
        <v>3.71</v>
      </c>
      <c r="J177" s="4">
        <v>3.85</v>
      </c>
      <c r="K177" s="4">
        <v>3.85</v>
      </c>
      <c r="L177" s="4">
        <v>3.78</v>
      </c>
      <c r="M177" s="4">
        <v>3.74</v>
      </c>
      <c r="N177" s="4">
        <v>3.71</v>
      </c>
      <c r="O177" s="4">
        <v>4.04</v>
      </c>
      <c r="P177" s="4">
        <v>4.1500000000000004</v>
      </c>
      <c r="Q177" s="4">
        <v>5.39</v>
      </c>
      <c r="R177" s="4">
        <v>4.47</v>
      </c>
      <c r="S177" s="4">
        <v>4.93</v>
      </c>
      <c r="T177" s="4">
        <v>5.34</v>
      </c>
      <c r="U177" s="4">
        <v>5</v>
      </c>
      <c r="V177" s="4">
        <v>5.2</v>
      </c>
      <c r="W177" s="4">
        <v>5.25</v>
      </c>
      <c r="X177" s="4">
        <v>6.05</v>
      </c>
      <c r="Y177" s="4">
        <v>6.4</v>
      </c>
      <c r="Z177" s="4">
        <v>6.51</v>
      </c>
      <c r="AA177" s="4">
        <v>6.68</v>
      </c>
      <c r="AB177" s="4">
        <v>6.91</v>
      </c>
      <c r="AC177" s="4">
        <v>6.49</v>
      </c>
      <c r="AD177" s="4">
        <v>6.57</v>
      </c>
      <c r="AE177" s="4">
        <v>6.5</v>
      </c>
      <c r="AF177" s="4">
        <v>6.45</v>
      </c>
      <c r="AG177" s="4">
        <v>6.13</v>
      </c>
      <c r="AH177" s="4">
        <v>5.44</v>
      </c>
      <c r="AI177" s="4">
        <v>5.15</v>
      </c>
      <c r="AJ177" s="4">
        <v>5.25</v>
      </c>
      <c r="AK177" s="4">
        <v>5.32</v>
      </c>
      <c r="AL177" s="4">
        <v>4.9800000000000004</v>
      </c>
      <c r="AM177" s="4">
        <v>4.92</v>
      </c>
      <c r="AN177" s="4">
        <v>5.3</v>
      </c>
      <c r="AO177" s="4">
        <v>4.8499999999999996</v>
      </c>
      <c r="AP177" s="4">
        <v>4.4400000000000004</v>
      </c>
      <c r="AQ177" s="4">
        <v>4.3099999999999996</v>
      </c>
      <c r="AR177" s="4">
        <v>4.3600000000000003</v>
      </c>
      <c r="AS177" s="4">
        <v>4.25</v>
      </c>
      <c r="AT177" s="4">
        <v>4.3600000000000003</v>
      </c>
      <c r="AU177" s="4">
        <v>4.9950000000000001</v>
      </c>
      <c r="AV177" s="4">
        <v>4.88</v>
      </c>
      <c r="AW177" s="4">
        <v>4.5</v>
      </c>
      <c r="AX177" s="4">
        <v>4.1500000000000004</v>
      </c>
      <c r="AY177" s="12">
        <v>4.16</v>
      </c>
      <c r="AZ177" s="12">
        <v>4.5</v>
      </c>
      <c r="BA177" s="12">
        <v>4.4400000000000004</v>
      </c>
      <c r="BB177" s="15">
        <v>4.28</v>
      </c>
      <c r="BC177" s="52">
        <v>4.1100000000000003</v>
      </c>
      <c r="BD177" s="52">
        <v>4.07</v>
      </c>
      <c r="BE177" s="52">
        <v>4.04</v>
      </c>
      <c r="BF177" s="52">
        <v>4.05</v>
      </c>
      <c r="BG177" s="67">
        <v>4</v>
      </c>
      <c r="BH177" s="52">
        <v>4.0999999999999996</v>
      </c>
      <c r="BI177" s="52">
        <v>3.99</v>
      </c>
      <c r="BJ177" s="52">
        <v>4.07</v>
      </c>
      <c r="BK177" s="52">
        <v>4.03</v>
      </c>
      <c r="BL177" s="52" cm="1">
        <f t="array" aca="1" ref="BL177" ca="1">_FV(EC177,"Preço")</f>
        <v>4.03</v>
      </c>
      <c r="BM177" s="69" t="s">
        <v>173</v>
      </c>
      <c r="BN177" s="36" cm="1">
        <f t="array" aca="1" ref="BN177" ca="1">_FV(EC177,"Média de volume",TRUE)</f>
        <v>9830</v>
      </c>
      <c r="BO177" s="36">
        <v>17800</v>
      </c>
      <c r="BP177" s="36" cm="1">
        <f t="array" aca="1" ref="BP177" ca="1">_FV(EC177,"Volume")</f>
        <v>17800</v>
      </c>
      <c r="BQ177" s="24" cm="1">
        <f t="array" aca="1" ref="BQ177" ca="1">_FV(EC177,"Beta")</f>
        <v>1.8313999999999999</v>
      </c>
      <c r="BR177" s="71" cm="1">
        <f t="array" aca="1" ref="BR177" ca="1">_FV(EC177,"Variação (%)",TRUE)</f>
        <v>-1.4670000000000001E-2</v>
      </c>
      <c r="BT177" s="17" cm="1">
        <f t="array" aca="1" ref="BT177" ca="1">_FV(EC177,"Baixo")</f>
        <v>4.0199999999999996</v>
      </c>
      <c r="BU177" s="17" cm="1">
        <f t="array" aca="1" ref="BU177" ca="1">_FV(EC177,"Alto")</f>
        <v>4.07</v>
      </c>
      <c r="BV177" s="24"/>
      <c r="BW177" s="63">
        <f ca="1">SQRT(22.5*(BL177/VLOOKUP(BM177,Fundamentus!A:U,3,FALSE))*(BL177/VLOOKUP(BM177,Fundamentus!A:U,4,FALSE)))</f>
        <v>14.851190271716318</v>
      </c>
      <c r="BY177" s="62">
        <f t="shared" ca="1" si="168"/>
        <v>0</v>
      </c>
      <c r="BZ177" s="8"/>
      <c r="CA177" s="61">
        <f t="shared" si="169"/>
        <v>3.68</v>
      </c>
      <c r="CB177" s="61">
        <f t="shared" si="170"/>
        <v>6.91</v>
      </c>
      <c r="CC177" s="61">
        <f t="shared" si="171"/>
        <v>4.7346825396825398</v>
      </c>
      <c r="CD177" s="14"/>
      <c r="CE177" s="35">
        <f t="shared" si="154"/>
        <v>3.9644058313795041</v>
      </c>
      <c r="CF177" s="15">
        <f t="shared" si="172"/>
        <v>4.041000000000011</v>
      </c>
      <c r="CG177" s="35">
        <f t="shared" si="155"/>
        <v>4.117594168620518</v>
      </c>
      <c r="CI177" s="14"/>
      <c r="CJ177" s="17">
        <f t="shared" si="156"/>
        <v>-0.3666666666666667</v>
      </c>
      <c r="CK177" s="17">
        <f t="shared" si="157"/>
        <v>1.6566666666666667</v>
      </c>
      <c r="CL177" s="17">
        <f t="shared" si="158"/>
        <v>2.8633333333333333</v>
      </c>
      <c r="CM177" s="38">
        <f t="shared" si="173"/>
        <v>4.8866666666666667</v>
      </c>
      <c r="CN177" s="17">
        <f t="shared" si="159"/>
        <v>6.0933333333333337</v>
      </c>
      <c r="CO177" s="17">
        <f t="shared" si="160"/>
        <v>8.1166666666666671</v>
      </c>
      <c r="CP177" s="17">
        <f t="shared" si="161"/>
        <v>9.3233333333333341</v>
      </c>
      <c r="CQ177" s="2" cm="1">
        <f t="array" aca="1" ref="CQ177" ca="1">MAX(_xlfn._xlws.FILTER(CJ177:CP177,CJ177:CP177&lt;BL177))</f>
        <v>2.8633333333333333</v>
      </c>
      <c r="CR177" s="2" cm="1">
        <f t="array" aca="1" ref="CR177" ca="1">MIN(_xlfn._xlws.FILTER($CJ177:$CP177,$CJ177:$CP177&gt;BL177))</f>
        <v>4.8866666666666667</v>
      </c>
      <c r="CS177" s="16">
        <f t="shared" ca="1" si="175"/>
        <v>0.70663562281722947</v>
      </c>
      <c r="CT177" s="20">
        <f t="shared" ca="1" si="176"/>
        <v>-0.35331781140861473</v>
      </c>
      <c r="CU177" s="20">
        <f t="shared" ca="1" si="177"/>
        <v>-0.23554520760574316</v>
      </c>
      <c r="CV177" s="20">
        <f t="shared" ca="1" si="178"/>
        <v>-0.1413271245634459</v>
      </c>
      <c r="CW177" s="20">
        <f t="shared" ca="1" si="179"/>
        <v>-7.8515069201914381E-2</v>
      </c>
      <c r="CX177" s="20">
        <f t="shared" ca="1" si="180"/>
        <v>-4.1566801342189971E-2</v>
      </c>
      <c r="CY177" s="20">
        <f t="shared" ca="1" si="181"/>
        <v>-2.1413200691431197E-2</v>
      </c>
      <c r="CZ177" s="20">
        <f t="shared" ca="1" si="182"/>
        <v>-1.0871317274111223E-2</v>
      </c>
      <c r="DA177" s="21">
        <f t="shared" ca="1" si="183"/>
        <v>1.0871317274111223E-2</v>
      </c>
      <c r="DB177" s="21">
        <f t="shared" ca="1" si="184"/>
        <v>2.1413200691431197E-2</v>
      </c>
      <c r="DC177" s="21">
        <f t="shared" ca="1" si="185"/>
        <v>4.1566801342189971E-2</v>
      </c>
      <c r="DD177" s="21">
        <f t="shared" ca="1" si="186"/>
        <v>7.8515069201914381E-2</v>
      </c>
      <c r="DE177" s="21">
        <f t="shared" ca="1" si="187"/>
        <v>0.1413271245634459</v>
      </c>
      <c r="DF177" s="21">
        <f t="shared" ca="1" si="188"/>
        <v>0.23554520760574316</v>
      </c>
      <c r="DG177" s="21">
        <f t="shared" ca="1" si="189"/>
        <v>0.35331781140861473</v>
      </c>
      <c r="DI177" s="16" cm="1">
        <f t="array" aca="1" ref="DI177" ca="1">MAX(_xlfn._xlws.FILTER(CT177:DG177,CT177:DG177&lt;BR177))</f>
        <v>-2.1413200691431197E-2</v>
      </c>
      <c r="DJ177" s="16" cm="1">
        <f t="array" aca="1" ref="DJ177" ca="1">MIN(_xlfn._xlws.FILTER(CT177:DG177,CT177:DG177&gt;BR177))</f>
        <v>-1.0871317274111223E-2</v>
      </c>
      <c r="DK177" s="2" cm="1">
        <f t="array" aca="1" ref="DK177" ca="1">_FV(EC177,"Fechamento anterior",TRUE)</f>
        <v>4.09</v>
      </c>
      <c r="DL177" s="28">
        <f t="shared" ca="1" si="162"/>
        <v>0.63966501754189442</v>
      </c>
      <c r="DM177" s="15">
        <f t="shared" ca="1" si="190"/>
        <v>4.0024200091720461</v>
      </c>
      <c r="DN177" s="15">
        <f t="shared" ca="1" si="191"/>
        <v>4.0455363123488848</v>
      </c>
      <c r="DO177" s="9"/>
      <c r="DP177" s="9"/>
      <c r="DQ177" s="9"/>
      <c r="DR177" s="89">
        <v>2.394005501280471E-2</v>
      </c>
      <c r="DS177" s="89">
        <v>2.235776058261266E-2</v>
      </c>
      <c r="DT177" s="89">
        <v>2.1742634548222447E-2</v>
      </c>
      <c r="DU177" s="89">
        <v>1.0541883417319974E-2</v>
      </c>
      <c r="DV177" s="89">
        <f t="shared" ca="1" si="163"/>
        <v>1.0541883417319974E-2</v>
      </c>
      <c r="DW177" s="72">
        <f t="shared" ca="1" si="164"/>
        <v>-0.14361406616359165</v>
      </c>
      <c r="DX177" s="37"/>
      <c r="DY177" s="35">
        <f t="shared" si="174"/>
        <v>3.8297084310253408E-2</v>
      </c>
      <c r="DZ177" s="56"/>
      <c r="EA177" s="56"/>
      <c r="EC177" s="2" t="e" vm="179">
        <v>#VALUE!</v>
      </c>
      <c r="EE177" s="10" cm="1">
        <f t="array" aca="1" ref="EE177" ca="1">_FV(EC177,"Ações em circulação",TRUE)</f>
        <v>44000000</v>
      </c>
      <c r="EF177" s="18">
        <f>VLOOKUP(BM177,Fundamentus!A:U,5,FALSE)</f>
        <v>0.13600000000000001</v>
      </c>
      <c r="EG177" s="2">
        <f t="shared" ca="1" si="165"/>
        <v>1303823529.4117646</v>
      </c>
      <c r="EH177" s="17">
        <v>391147.05882352934</v>
      </c>
      <c r="EI177" s="17">
        <f t="shared" ca="1" si="166"/>
        <v>391147.05882352934</v>
      </c>
      <c r="EK177" s="16">
        <f t="shared" ca="1" si="153"/>
        <v>0</v>
      </c>
      <c r="EL177" s="32" t="str">
        <f>IF(VLOOKUP(BM177,Fundamentus!A:U,3,FALSE)&lt;15,"Bom",IF(VLOOKUP(BM177,Fundamentus!A:U,3,FALSE)&gt;15,"Ruim","n/a"))</f>
        <v>Bom</v>
      </c>
      <c r="EM177" s="28" t="str">
        <f>IF(VLOOKUP(BM177,Fundamentus!A:U,4,FALSE)&lt;1,"Baixo",IF(VLOOKUP(BM177,Fundamentus!A:U,4,FALSE)&lt;1.5,"Moderado",IF(VLOOKUP(BM177,Fundamentus!A:U,4,FALSE)&gt;1.5,"Alto","n/a")))</f>
        <v>Baixo</v>
      </c>
      <c r="EN177" s="17" t="str">
        <f>IF(VLOOKUP(BM177,Fundamentus!A:U,8,FALSE)&lt;0,"Risco elevado",IF(VLOOKUP(BM177,Fundamentus!A:U,8,FALSE)&lt;1,"Saudável",IF(VLOOKUP(BM177,Fundamentus!A:U,8,FALSE)&lt;3,"Estável",IF(VLOOKUP(BM177,Fundamentus!A:U,8,FALSE)&gt;3,"Alerta","n/a"))))</f>
        <v>Risco elevado</v>
      </c>
      <c r="EO177" s="28" t="str">
        <f t="shared" si="167"/>
        <v>Ruim</v>
      </c>
      <c r="EP177" s="17" t="str">
        <f>IF(VLOOKUP(BM177,Fundamentus!A:U,12,FALSE)&lt;2,"Subvalorizada",IF(VLOOKUP(BM177,Fundamentus!A:U,12,FALSE)&lt;6,"Muita barata",IF(VLOOKUP(BM177,Fundamentus!A:U,12,FALSE)&lt;6,"Barata",IF(VLOOKUP(BM177,Fundamentus!A:U,12,FALSE)&lt;8,"Atrativa",IF(VLOOKUP(BM177,Fundamentus!A:U,12,FALSE)&gt;8,"Supervalorizada","n/a")))))</f>
        <v>Muita barata</v>
      </c>
      <c r="ER177" s="17" t="str">
        <f>IF(VLOOKUP(BM177,Fundamentus!A:U,17,FALSE)&lt;0.1,"Fraco retorno",IF(VLOOKUP(BM177,Fundamentus!A:U,17,FALSE)&gt;0.1,"Bom retorno","n/a"))</f>
        <v>Fraco retorno</v>
      </c>
      <c r="ES177" s="17" t="str">
        <f>IF(VLOOKUP(BM177,Fundamentus!A:U,16,FALSE)&lt;0.1,"Ineficiente",IF(VLOOKUP(BM177,Fundamentus!A:U,16,FALSE)&gt;0.1,"Eficiente","n/a"))</f>
        <v>Ineficiente</v>
      </c>
      <c r="ET177" s="33" t="str">
        <f>IF(VLOOKUP(BM177,Fundamentus!A:U,16,FALSE)&lt;0.1,"Oper. Ineficiente",IF(VLOOKUP(BM177,Fundamentus!A:U,16,FALSE)&gt;0.1,"Oper.Eficiente","n/a"))</f>
        <v>Oper. Ineficiente</v>
      </c>
      <c r="EU177" s="34">
        <f>VLOOKUP(BM177,Fundamentus!A:U,14,FALSE)</f>
        <v>2.9999999999999997E-4</v>
      </c>
      <c r="EV177" s="17" t="str">
        <f>IF(VLOOKUP(BM177,Fundamentus!A:U,21,FALSE)&lt;0,"Negativo",IF(VLOOKUP(BM177,Fundamentus!A:U,21,FALSE)&lt;0.05,"Fraco",IF(VLOOKUP(BM177,Fundamentus!A:U,21,FALSE)&lt;0.1,"Bom",IF(VLOOKUP(BM177,Fundamentus!A:U,21,FALSE)&gt;0.1,"Muito bom","n/a"))))</f>
        <v>Bom</v>
      </c>
      <c r="EX177" s="29" t="str">
        <f>IF(VLOOKUP(BM177,Fundamentus!A:U,15,FALSE)&gt;1,"Bom",IF(VLOOKUP(BM177,Fundamentus!A:U,15,FALSE)&lt;1,"Ruim","n/a"))</f>
        <v>Ruim</v>
      </c>
      <c r="EY177" s="17" t="str">
        <f>IF(VLOOKUP(BM177,Fundamentus!A:U,20,FALSE)&lt;0.5,"Baixa",IF(VLOOKUP(BM177,Fundamentus!A:U,20,FALSE)&lt;1,"Moderada",IF(VLOOKUP(BM177,Fundamentus!A:U,20,FALSE)&lt;2,"Alerta",IF(VLOOKUP(BM177,Fundamentus!A:U,20,FALSE)&gt;2,"Alta","n/a"))))</f>
        <v>Alerta</v>
      </c>
      <c r="EZ177" s="10"/>
    </row>
    <row r="178" spans="1:156" s="2" customFormat="1" ht="11.25" x14ac:dyDescent="0.2">
      <c r="A178" s="4">
        <v>12.03</v>
      </c>
      <c r="B178" s="4">
        <v>11.27</v>
      </c>
      <c r="C178" s="4">
        <v>11.5</v>
      </c>
      <c r="D178" s="4">
        <v>11.38</v>
      </c>
      <c r="E178" s="4">
        <v>10.96</v>
      </c>
      <c r="F178" s="4">
        <v>10.88</v>
      </c>
      <c r="G178" s="4">
        <v>10.7</v>
      </c>
      <c r="H178" s="4">
        <v>10.93</v>
      </c>
      <c r="I178" s="4">
        <v>11.5</v>
      </c>
      <c r="J178" s="4">
        <v>12.42</v>
      </c>
      <c r="K178" s="4">
        <v>12.53</v>
      </c>
      <c r="L178" s="4">
        <v>12</v>
      </c>
      <c r="M178" s="4">
        <v>11.72</v>
      </c>
      <c r="N178" s="4">
        <v>11.18</v>
      </c>
      <c r="O178" s="4">
        <v>11.62</v>
      </c>
      <c r="P178" s="4">
        <v>11</v>
      </c>
      <c r="Q178" s="4">
        <v>11.23</v>
      </c>
      <c r="R178" s="4">
        <v>11.28</v>
      </c>
      <c r="S178" s="4">
        <v>11.25</v>
      </c>
      <c r="T178" s="4">
        <v>11.15</v>
      </c>
      <c r="U178" s="4">
        <v>11.02</v>
      </c>
      <c r="V178" s="4">
        <v>10.52</v>
      </c>
      <c r="W178" s="4">
        <v>10.47</v>
      </c>
      <c r="X178" s="4">
        <v>10.050000000000001</v>
      </c>
      <c r="Y178" s="4">
        <v>9.9499999999999993</v>
      </c>
      <c r="Z178" s="4">
        <v>9.81</v>
      </c>
      <c r="AA178" s="4">
        <v>9.27</v>
      </c>
      <c r="AB178" s="4">
        <v>10.23</v>
      </c>
      <c r="AC178" s="4">
        <v>9.26</v>
      </c>
      <c r="AD178" s="4">
        <v>9.1199999999999992</v>
      </c>
      <c r="AE178" s="4">
        <v>9.17</v>
      </c>
      <c r="AF178" s="4">
        <v>8.85</v>
      </c>
      <c r="AG178" s="4">
        <v>9</v>
      </c>
      <c r="AH178" s="4">
        <v>8.4600000000000009</v>
      </c>
      <c r="AI178" s="4">
        <v>8.24</v>
      </c>
      <c r="AJ178" s="4">
        <v>8.1</v>
      </c>
      <c r="AK178" s="4">
        <v>8.3000000000000007</v>
      </c>
      <c r="AL178" s="4">
        <v>8.14</v>
      </c>
      <c r="AM178" s="4">
        <v>7.98</v>
      </c>
      <c r="AN178" s="4">
        <v>8.06</v>
      </c>
      <c r="AO178" s="4">
        <v>8.09</v>
      </c>
      <c r="AP178" s="4">
        <v>8.58</v>
      </c>
      <c r="AQ178" s="4">
        <v>8.0299999999999994</v>
      </c>
      <c r="AR178" s="4">
        <v>7.99</v>
      </c>
      <c r="AS178" s="4">
        <v>8.16</v>
      </c>
      <c r="AT178" s="4">
        <v>8.08</v>
      </c>
      <c r="AU178" s="4">
        <v>7.9850000000000003</v>
      </c>
      <c r="AV178" s="4">
        <v>8.26</v>
      </c>
      <c r="AW178" s="4">
        <v>8.41</v>
      </c>
      <c r="AX178" s="4">
        <v>8.57</v>
      </c>
      <c r="AY178" s="12">
        <v>9.11</v>
      </c>
      <c r="AZ178" s="12">
        <v>8.92</v>
      </c>
      <c r="BA178" s="12">
        <v>8.48</v>
      </c>
      <c r="BB178" s="15">
        <v>7.84</v>
      </c>
      <c r="BC178" s="52">
        <v>7.8</v>
      </c>
      <c r="BD178" s="52">
        <v>7.77</v>
      </c>
      <c r="BE178" s="52">
        <v>7.7</v>
      </c>
      <c r="BF178" s="52">
        <v>7.22</v>
      </c>
      <c r="BG178" s="67">
        <v>7.18</v>
      </c>
      <c r="BH178" s="52">
        <v>7.13</v>
      </c>
      <c r="BI178" s="52">
        <v>6.82</v>
      </c>
      <c r="BJ178" s="52">
        <v>6.92</v>
      </c>
      <c r="BK178" s="52">
        <v>6.35</v>
      </c>
      <c r="BL178" s="52" cm="1">
        <f t="array" aca="1" ref="BL178" ca="1">_FV(EC178,"Preço")</f>
        <v>6.35</v>
      </c>
      <c r="BM178" s="69" t="s">
        <v>174</v>
      </c>
      <c r="BN178" s="36" cm="1">
        <f t="array" aca="1" ref="BN178" ca="1">_FV(EC178,"Média de volume",TRUE)</f>
        <v>257230</v>
      </c>
      <c r="BO178" s="36">
        <v>445000</v>
      </c>
      <c r="BP178" s="36" cm="1">
        <f t="array" aca="1" ref="BP178" ca="1">_FV(EC178,"Volume")</f>
        <v>445000</v>
      </c>
      <c r="BQ178" s="24" cm="1">
        <f t="array" aca="1" ref="BQ178" ca="1">_FV(EC178,"Beta")</f>
        <v>1.1708000000000001</v>
      </c>
      <c r="BR178" s="71" cm="1">
        <f t="array" aca="1" ref="BR178" ca="1">_FV(EC178,"Variação (%)",TRUE)</f>
        <v>-2.3077E-2</v>
      </c>
      <c r="BT178" s="17" cm="1">
        <f t="array" aca="1" ref="BT178" ca="1">_FV(EC178,"Baixo")</f>
        <v>6.17</v>
      </c>
      <c r="BU178" s="17" cm="1">
        <f t="array" aca="1" ref="BU178" ca="1">_FV(EC178,"Alto")</f>
        <v>6.57</v>
      </c>
      <c r="BV178" s="24"/>
      <c r="BW178" s="63">
        <f ca="1">SQRT(22.5*(BL178/VLOOKUP(BM178,Fundamentus!A:U,3,FALSE))*(BL178/VLOOKUP(BM178,Fundamentus!A:U,4,FALSE)))</f>
        <v>9.3594449206583263</v>
      </c>
      <c r="BY178" s="62">
        <f t="shared" ca="1" si="168"/>
        <v>0</v>
      </c>
      <c r="BZ178" s="8"/>
      <c r="CA178" s="61">
        <f t="shared" si="169"/>
        <v>6.35</v>
      </c>
      <c r="CB178" s="61">
        <f t="shared" si="170"/>
        <v>12.53</v>
      </c>
      <c r="CC178" s="61">
        <f t="shared" si="171"/>
        <v>9.4273809523809557</v>
      </c>
      <c r="CD178" s="14"/>
      <c r="CE178" s="35">
        <f t="shared" si="154"/>
        <v>6.0958214486250855</v>
      </c>
      <c r="CF178" s="15">
        <f t="shared" si="172"/>
        <v>6.6929999999999836</v>
      </c>
      <c r="CG178" s="35">
        <f t="shared" si="155"/>
        <v>7.2901785513748818</v>
      </c>
      <c r="CI178" s="14"/>
      <c r="CJ178" s="17">
        <f t="shared" si="156"/>
        <v>-1.5099999999999998</v>
      </c>
      <c r="CK178" s="17">
        <f t="shared" si="157"/>
        <v>2.42</v>
      </c>
      <c r="CL178" s="17">
        <f t="shared" si="158"/>
        <v>4.67</v>
      </c>
      <c r="CM178" s="38">
        <f t="shared" si="173"/>
        <v>8.6</v>
      </c>
      <c r="CN178" s="17">
        <f t="shared" si="159"/>
        <v>10.85</v>
      </c>
      <c r="CO178" s="17">
        <f t="shared" si="160"/>
        <v>14.78</v>
      </c>
      <c r="CP178" s="17">
        <f t="shared" si="161"/>
        <v>17.03</v>
      </c>
      <c r="CQ178" s="2" cm="1">
        <f t="array" aca="1" ref="CQ178" ca="1">MAX(_xlfn._xlws.FILTER(CJ178:CP178,CJ178:CP178&lt;BL178))</f>
        <v>4.67</v>
      </c>
      <c r="CR178" s="2" cm="1">
        <f t="array" aca="1" ref="CR178" ca="1">MIN(_xlfn._xlws.FILTER($CJ178:$CP178,$CJ178:$CP178&gt;BL178))</f>
        <v>8.6</v>
      </c>
      <c r="CS178" s="16">
        <f t="shared" ca="1" si="175"/>
        <v>0.84154175588865088</v>
      </c>
      <c r="CT178" s="20">
        <f t="shared" ca="1" si="176"/>
        <v>-0.42077087794432544</v>
      </c>
      <c r="CU178" s="20">
        <f t="shared" ca="1" si="177"/>
        <v>-0.28051391862955027</v>
      </c>
      <c r="CV178" s="20">
        <f t="shared" ca="1" si="178"/>
        <v>-0.16830835117773019</v>
      </c>
      <c r="CW178" s="20">
        <f t="shared" ca="1" si="179"/>
        <v>-9.3504639543183429E-2</v>
      </c>
      <c r="CX178" s="20">
        <f t="shared" ca="1" si="180"/>
        <v>-4.950245622874417E-2</v>
      </c>
      <c r="CY178" s="20">
        <f t="shared" ca="1" si="181"/>
        <v>-2.5501265329959118E-2</v>
      </c>
      <c r="CZ178" s="20">
        <f t="shared" ca="1" si="182"/>
        <v>-1.2946796244440784E-2</v>
      </c>
      <c r="DA178" s="21">
        <f t="shared" ca="1" si="183"/>
        <v>1.2946796244440784E-2</v>
      </c>
      <c r="DB178" s="21">
        <f t="shared" ca="1" si="184"/>
        <v>2.5501265329959118E-2</v>
      </c>
      <c r="DC178" s="21">
        <f t="shared" ca="1" si="185"/>
        <v>4.950245622874417E-2</v>
      </c>
      <c r="DD178" s="21">
        <f t="shared" ca="1" si="186"/>
        <v>9.3504639543183429E-2</v>
      </c>
      <c r="DE178" s="21">
        <f t="shared" ca="1" si="187"/>
        <v>0.16830835117773019</v>
      </c>
      <c r="DF178" s="21">
        <f t="shared" ca="1" si="188"/>
        <v>0.28051391862955027</v>
      </c>
      <c r="DG178" s="21">
        <f t="shared" ca="1" si="189"/>
        <v>0.42077087794432544</v>
      </c>
      <c r="DI178" s="16" cm="1">
        <f t="array" aca="1" ref="DI178" ca="1">MAX(_xlfn._xlws.FILTER(CT178:DG178,CT178:DG178&lt;BR178))</f>
        <v>-2.5501265329959118E-2</v>
      </c>
      <c r="DJ178" s="16" cm="1">
        <f t="array" aca="1" ref="DJ178" ca="1">MIN(_xlfn._xlws.FILTER(CT178:DG178,CT178:DG178&gt;BR178))</f>
        <v>-1.2946796244440784E-2</v>
      </c>
      <c r="DK178" s="2" cm="1">
        <f t="array" aca="1" ref="DK178" ca="1">_FV(EC178,"Fechamento anterior",TRUE)</f>
        <v>6.5</v>
      </c>
      <c r="DL178" s="28">
        <f t="shared" ca="1" si="162"/>
        <v>0.19310591603052932</v>
      </c>
      <c r="DM178" s="15">
        <f t="shared" ca="1" si="190"/>
        <v>6.3342417753552658</v>
      </c>
      <c r="DN178" s="15">
        <f t="shared" ca="1" si="191"/>
        <v>6.4158458244111349</v>
      </c>
      <c r="DO178" s="9"/>
      <c r="DP178" s="9"/>
      <c r="DQ178" s="9"/>
      <c r="DR178" s="89">
        <v>1.9645717058966273E-2</v>
      </c>
      <c r="DS178" s="89">
        <v>2.0335439730127806E-2</v>
      </c>
      <c r="DT178" s="89">
        <v>2.3298173398507826E-2</v>
      </c>
      <c r="DU178" s="89">
        <v>2.1595454843536668E-2</v>
      </c>
      <c r="DV178" s="89">
        <f t="shared" ca="1" si="163"/>
        <v>1.2554469085518334E-2</v>
      </c>
      <c r="DW178" s="72">
        <f t="shared" ca="1" si="164"/>
        <v>-0.57436758103633667</v>
      </c>
      <c r="DX178" s="37"/>
      <c r="DY178" s="35">
        <f t="shared" si="174"/>
        <v>0.29858927568744925</v>
      </c>
      <c r="DZ178" s="56"/>
      <c r="EA178" s="56"/>
      <c r="EC178" s="2" t="e" vm="180">
        <v>#VALUE!</v>
      </c>
      <c r="EE178" s="10" cm="1">
        <f t="array" aca="1" ref="EE178" ca="1">_FV(EC178,"Ações em circulação",TRUE)</f>
        <v>139297900</v>
      </c>
      <c r="EF178" s="18">
        <f>VLOOKUP(BM178,Fundamentus!A:U,5,FALSE)</f>
        <v>0.63600000000000001</v>
      </c>
      <c r="EG178" s="2">
        <f t="shared" ca="1" si="165"/>
        <v>1390788781.4465408</v>
      </c>
      <c r="EH178" s="17">
        <v>67453255.900157228</v>
      </c>
      <c r="EI178" s="17">
        <f t="shared" ca="1" si="166"/>
        <v>67453255.900157228</v>
      </c>
      <c r="EK178" s="16">
        <f t="shared" ca="1" si="153"/>
        <v>0</v>
      </c>
      <c r="EL178" s="32" t="str">
        <f>IF(VLOOKUP(BM178,Fundamentus!A:U,3,FALSE)&lt;15,"Bom",IF(VLOOKUP(BM178,Fundamentus!A:U,3,FALSE)&gt;15,"Ruim","n/a"))</f>
        <v>Bom</v>
      </c>
      <c r="EM178" s="28" t="str">
        <f>IF(VLOOKUP(BM178,Fundamentus!A:U,4,FALSE)&lt;1,"Baixo",IF(VLOOKUP(BM178,Fundamentus!A:U,4,FALSE)&lt;1.5,"Moderado",IF(VLOOKUP(BM178,Fundamentus!A:U,4,FALSE)&gt;1.5,"Alto","n/a")))</f>
        <v>Baixo</v>
      </c>
      <c r="EN178" s="17" t="str">
        <f>IF(VLOOKUP(BM178,Fundamentus!A:U,8,FALSE)&lt;0,"Risco elevado",IF(VLOOKUP(BM178,Fundamentus!A:U,8,FALSE)&lt;1,"Saudável",IF(VLOOKUP(BM178,Fundamentus!A:U,8,FALSE)&lt;3,"Estável",IF(VLOOKUP(BM178,Fundamentus!A:U,8,FALSE)&gt;3,"Alerta","n/a"))))</f>
        <v>Estável</v>
      </c>
      <c r="EO178" s="28" t="str">
        <f t="shared" si="167"/>
        <v>Ruim</v>
      </c>
      <c r="EP178" s="17" t="str">
        <f>IF(VLOOKUP(BM178,Fundamentus!A:U,12,FALSE)&lt;2,"Subvalorizada",IF(VLOOKUP(BM178,Fundamentus!A:U,12,FALSE)&lt;6,"Muita barata",IF(VLOOKUP(BM178,Fundamentus!A:U,12,FALSE)&lt;6,"Barata",IF(VLOOKUP(BM178,Fundamentus!A:U,12,FALSE)&lt;8,"Atrativa",IF(VLOOKUP(BM178,Fundamentus!A:U,12,FALSE)&gt;8,"Supervalorizada","n/a")))))</f>
        <v>Supervalorizada</v>
      </c>
      <c r="ER178" s="17" t="str">
        <f>IF(VLOOKUP(BM178,Fundamentus!A:U,17,FALSE)&lt;0.1,"Fraco retorno",IF(VLOOKUP(BM178,Fundamentus!A:U,17,FALSE)&gt;0.1,"Bom retorno","n/a"))</f>
        <v>Fraco retorno</v>
      </c>
      <c r="ES178" s="17" t="str">
        <f>IF(VLOOKUP(BM178,Fundamentus!A:U,16,FALSE)&lt;0.1,"Ineficiente",IF(VLOOKUP(BM178,Fundamentus!A:U,16,FALSE)&gt;0.1,"Eficiente","n/a"))</f>
        <v>Ineficiente</v>
      </c>
      <c r="ET178" s="33" t="str">
        <f>IF(VLOOKUP(BM178,Fundamentus!A:U,16,FALSE)&lt;0.1,"Oper. Ineficiente",IF(VLOOKUP(BM178,Fundamentus!A:U,16,FALSE)&gt;0.1,"Oper.Eficiente","n/a"))</f>
        <v>Oper. Ineficiente</v>
      </c>
      <c r="EU178" s="34">
        <f>VLOOKUP(BM178,Fundamentus!A:U,14,FALSE)</f>
        <v>4.8500000000000001E-2</v>
      </c>
      <c r="EV178" s="17" t="str">
        <f>IF(VLOOKUP(BM178,Fundamentus!A:U,21,FALSE)&lt;0,"Negativo",IF(VLOOKUP(BM178,Fundamentus!A:U,21,FALSE)&lt;0.05,"Fraco",IF(VLOOKUP(BM178,Fundamentus!A:U,21,FALSE)&lt;0.1,"Bom",IF(VLOOKUP(BM178,Fundamentus!A:U,21,FALSE)&gt;0.1,"Muito bom","n/a"))))</f>
        <v>Negativo</v>
      </c>
      <c r="EX178" s="29" t="str">
        <f>IF(VLOOKUP(BM178,Fundamentus!A:U,15,FALSE)&gt;1,"Bom",IF(VLOOKUP(BM178,Fundamentus!A:U,15,FALSE)&lt;1,"Ruim","n/a"))</f>
        <v>Bom</v>
      </c>
      <c r="EY178" s="17" t="str">
        <f>IF(VLOOKUP(BM178,Fundamentus!A:U,20,FALSE)&lt;0.5,"Baixa",IF(VLOOKUP(BM178,Fundamentus!A:U,20,FALSE)&lt;1,"Moderada",IF(VLOOKUP(BM178,Fundamentus!A:U,20,FALSE)&lt;2,"Alerta",IF(VLOOKUP(BM178,Fundamentus!A:U,20,FALSE)&gt;2,"Alta","n/a"))))</f>
        <v>Moderada</v>
      </c>
      <c r="EZ178" s="10"/>
    </row>
    <row r="179" spans="1:156" s="2" customFormat="1" ht="11.25" x14ac:dyDescent="0.2">
      <c r="A179" s="4">
        <v>6.29</v>
      </c>
      <c r="B179" s="4">
        <v>6.2</v>
      </c>
      <c r="C179" s="4">
        <v>6.1</v>
      </c>
      <c r="D179" s="4">
        <v>6.11</v>
      </c>
      <c r="E179" s="4">
        <v>6.08</v>
      </c>
      <c r="F179" s="4">
        <v>5.73</v>
      </c>
      <c r="G179" s="4">
        <v>5.85</v>
      </c>
      <c r="H179" s="4">
        <v>6.15</v>
      </c>
      <c r="I179" s="4">
        <v>6.19</v>
      </c>
      <c r="J179" s="4">
        <v>6.21</v>
      </c>
      <c r="K179" s="4">
        <v>5.99</v>
      </c>
      <c r="L179" s="4">
        <v>5.92</v>
      </c>
      <c r="M179" s="4">
        <v>5.74</v>
      </c>
      <c r="N179" s="4">
        <v>5.89</v>
      </c>
      <c r="O179" s="4">
        <v>5.4</v>
      </c>
      <c r="P179" s="4">
        <v>5.81</v>
      </c>
      <c r="Q179" s="4">
        <v>5.41</v>
      </c>
      <c r="R179" s="4">
        <v>5.71</v>
      </c>
      <c r="S179" s="4">
        <v>5.75</v>
      </c>
      <c r="T179" s="4">
        <v>5.8</v>
      </c>
      <c r="U179" s="4">
        <v>5.44</v>
      </c>
      <c r="V179" s="4">
        <v>5.59</v>
      </c>
      <c r="W179" s="4">
        <v>5.48</v>
      </c>
      <c r="X179" s="4">
        <v>5.14</v>
      </c>
      <c r="Y179" s="4">
        <v>5.14</v>
      </c>
      <c r="Z179" s="4">
        <v>4.97</v>
      </c>
      <c r="AA179" s="4">
        <v>5.07</v>
      </c>
      <c r="AB179" s="4">
        <v>5.16</v>
      </c>
      <c r="AC179" s="4">
        <v>4.7300000000000004</v>
      </c>
      <c r="AD179" s="4">
        <v>4.68</v>
      </c>
      <c r="AE179" s="4">
        <v>4.59</v>
      </c>
      <c r="AF179" s="4">
        <v>4.1500000000000004</v>
      </c>
      <c r="AG179" s="4">
        <v>4.08</v>
      </c>
      <c r="AH179" s="4">
        <v>3.75</v>
      </c>
      <c r="AI179" s="4">
        <v>3.87</v>
      </c>
      <c r="AJ179" s="4">
        <v>3.77</v>
      </c>
      <c r="AK179" s="4">
        <v>3.86</v>
      </c>
      <c r="AL179" s="4">
        <v>3.45</v>
      </c>
      <c r="AM179" s="4">
        <v>3.52</v>
      </c>
      <c r="AN179" s="4">
        <v>4.3899999999999997</v>
      </c>
      <c r="AO179" s="4">
        <v>4.1500000000000004</v>
      </c>
      <c r="AP179" s="4">
        <v>4</v>
      </c>
      <c r="AQ179" s="4">
        <v>4.3</v>
      </c>
      <c r="AR179" s="4">
        <v>4.0599999999999996</v>
      </c>
      <c r="AS179" s="4">
        <v>4.5</v>
      </c>
      <c r="AT179" s="4">
        <v>4.8</v>
      </c>
      <c r="AU179" s="4">
        <v>4.2750000000000004</v>
      </c>
      <c r="AV179" s="4">
        <v>4.6500000000000004</v>
      </c>
      <c r="AW179" s="4">
        <v>4.3499999999999996</v>
      </c>
      <c r="AX179" s="4">
        <v>4.4400000000000004</v>
      </c>
      <c r="AY179" s="12">
        <v>4.7</v>
      </c>
      <c r="AZ179" s="12">
        <v>4.54</v>
      </c>
      <c r="BA179" s="12">
        <v>4.57</v>
      </c>
      <c r="BB179" s="15">
        <v>4.38</v>
      </c>
      <c r="BC179" s="52">
        <v>4.34</v>
      </c>
      <c r="BD179" s="52">
        <v>4.59</v>
      </c>
      <c r="BE179" s="52">
        <v>4.46</v>
      </c>
      <c r="BF179" s="52">
        <v>4.4800000000000004</v>
      </c>
      <c r="BG179" s="67">
        <v>4.34</v>
      </c>
      <c r="BH179" s="52">
        <v>4.4000000000000004</v>
      </c>
      <c r="BI179" s="52">
        <v>4.12</v>
      </c>
      <c r="BJ179" s="52">
        <v>3.56</v>
      </c>
      <c r="BK179" s="52">
        <v>3.51</v>
      </c>
      <c r="BL179" s="52" cm="1">
        <f t="array" aca="1" ref="BL179" ca="1">_FV(EC179,"Preço")</f>
        <v>3.51</v>
      </c>
      <c r="BM179" s="69" t="s">
        <v>175</v>
      </c>
      <c r="BN179" s="36" cm="1">
        <f t="array" aca="1" ref="BN179" ca="1">_FV(EC179,"Média de volume",TRUE)</f>
        <v>12340</v>
      </c>
      <c r="BO179" s="36">
        <v>5400</v>
      </c>
      <c r="BP179" s="36" cm="1">
        <f t="array" aca="1" ref="BP179" ca="1">_FV(EC179,"Volume")</f>
        <v>5400</v>
      </c>
      <c r="BQ179" s="24" cm="1">
        <f t="array" aca="1" ref="BQ179" ca="1">_FV(EC179,"Beta")</f>
        <v>0.35160000000000002</v>
      </c>
      <c r="BR179" s="71" cm="1">
        <f t="array" aca="1" ref="BR179" ca="1">_FV(EC179,"Variação (%)",TRUE)</f>
        <v>1.4451E-2</v>
      </c>
      <c r="BT179" s="17" cm="1">
        <f t="array" aca="1" ref="BT179" ca="1">_FV(EC179,"Baixo")</f>
        <v>3.45</v>
      </c>
      <c r="BU179" s="17" cm="1">
        <f t="array" aca="1" ref="BU179" ca="1">_FV(EC179,"Alto")</f>
        <v>3.57</v>
      </c>
      <c r="BV179" s="24"/>
      <c r="BW179" s="63">
        <f ca="1">SQRT(22.5*(BL179/VLOOKUP(BM179,Fundamentus!A:U,3,FALSE))*(BL179/VLOOKUP(BM179,Fundamentus!A:U,4,FALSE)))</f>
        <v>130.80997668373769</v>
      </c>
      <c r="BY179" s="62">
        <f t="shared" ca="1" si="168"/>
        <v>0</v>
      </c>
      <c r="BZ179" s="8"/>
      <c r="CA179" s="61">
        <f t="shared" si="169"/>
        <v>3.45</v>
      </c>
      <c r="CB179" s="61">
        <f t="shared" si="170"/>
        <v>6.29</v>
      </c>
      <c r="CC179" s="61">
        <f t="shared" si="171"/>
        <v>4.8996031746031727</v>
      </c>
      <c r="CD179" s="14"/>
      <c r="CE179" s="35">
        <f t="shared" si="154"/>
        <v>2.9502590192123845</v>
      </c>
      <c r="CF179" s="15">
        <f t="shared" si="172"/>
        <v>3.7359999999998763</v>
      </c>
      <c r="CG179" s="35">
        <f t="shared" si="155"/>
        <v>4.5217409807873681</v>
      </c>
      <c r="CI179" s="14"/>
      <c r="CJ179" s="17">
        <f t="shared" si="156"/>
        <v>-0.26333333333333275</v>
      </c>
      <c r="CK179" s="17">
        <f t="shared" si="157"/>
        <v>1.5933333333333337</v>
      </c>
      <c r="CL179" s="17">
        <f t="shared" si="158"/>
        <v>2.5766666666666671</v>
      </c>
      <c r="CM179" s="38">
        <f t="shared" si="173"/>
        <v>4.4333333333333336</v>
      </c>
      <c r="CN179" s="17">
        <f t="shared" si="159"/>
        <v>5.416666666666667</v>
      </c>
      <c r="CO179" s="17">
        <f t="shared" si="160"/>
        <v>7.2733333333333334</v>
      </c>
      <c r="CP179" s="17">
        <f t="shared" si="161"/>
        <v>8.2566666666666677</v>
      </c>
      <c r="CQ179" s="2" cm="1">
        <f t="array" aca="1" ref="CQ179" ca="1">MAX(_xlfn._xlws.FILTER(CJ179:CP179,CJ179:CP179&lt;BL179))</f>
        <v>2.5766666666666671</v>
      </c>
      <c r="CR179" s="2" cm="1">
        <f t="array" aca="1" ref="CR179" ca="1">MIN(_xlfn._xlws.FILTER($CJ179:$CP179,$CJ179:$CP179&gt;BL179))</f>
        <v>4.4333333333333336</v>
      </c>
      <c r="CS179" s="16">
        <f t="shared" ref="CS179:CS186" ca="1" si="192">(CR179/CQ179)-1</f>
        <v>0.72056921086675274</v>
      </c>
      <c r="CT179" s="20">
        <f t="shared" ref="CT179:CT186" ca="1" si="193">-$CS179/2</f>
        <v>-0.36028460543337637</v>
      </c>
      <c r="CU179" s="20">
        <f t="shared" ref="CU179:CU186" ca="1" si="194">-$CS179/3</f>
        <v>-0.24018973695558424</v>
      </c>
      <c r="CV179" s="20">
        <f t="shared" ref="CV179:CV186" ca="1" si="195">-$CS179/5</f>
        <v>-0.14411384217335055</v>
      </c>
      <c r="CW179" s="20">
        <f t="shared" ref="CW179:CW186" ca="1" si="196">-$CS179/9</f>
        <v>-8.0063245651861417E-2</v>
      </c>
      <c r="CX179" s="20">
        <f t="shared" ref="CX179:CX186" ca="1" si="197">-$CS179/17</f>
        <v>-4.2386424168632517E-2</v>
      </c>
      <c r="CY179" s="20">
        <f t="shared" ref="CY179:CY186" ca="1" si="198">-$CS179/33</f>
        <v>-2.183543063232584E-2</v>
      </c>
      <c r="CZ179" s="20">
        <f t="shared" ref="CZ179:CZ186" ca="1" si="199">-$CS179/65</f>
        <v>-1.1085680167180811E-2</v>
      </c>
      <c r="DA179" s="21">
        <f t="shared" ref="DA179:DA186" ca="1" si="200">-$CS179/65*-1</f>
        <v>1.1085680167180811E-2</v>
      </c>
      <c r="DB179" s="21">
        <f t="shared" ref="DB179:DB186" ca="1" si="201">-$CS179/33*-1</f>
        <v>2.183543063232584E-2</v>
      </c>
      <c r="DC179" s="21">
        <f t="shared" ref="DC179:DC186" ca="1" si="202">-$CS179/17*-1</f>
        <v>4.2386424168632517E-2</v>
      </c>
      <c r="DD179" s="21">
        <f t="shared" ref="DD179:DD186" ca="1" si="203">-$CS179/9*-1</f>
        <v>8.0063245651861417E-2</v>
      </c>
      <c r="DE179" s="21">
        <f t="shared" ref="DE179:DE186" ca="1" si="204">-$CS179/5*-1</f>
        <v>0.14411384217335055</v>
      </c>
      <c r="DF179" s="21">
        <f t="shared" ref="DF179:DF186" ca="1" si="205">-$CS179/3*-1</f>
        <v>0.24018973695558424</v>
      </c>
      <c r="DG179" s="21">
        <f t="shared" ref="DG179:DG186" ca="1" si="206">-$CS179/2*-1</f>
        <v>0.36028460543337637</v>
      </c>
      <c r="DI179" s="16" cm="1">
        <f t="array" aca="1" ref="DI179" ca="1">MAX(_xlfn._xlws.FILTER(CT179:DG179,CT179:DG179&lt;BR179))</f>
        <v>1.1085680167180811E-2</v>
      </c>
      <c r="DJ179" s="16" cm="1">
        <f t="array" aca="1" ref="DJ179" ca="1">MIN(_xlfn._xlws.FILTER(CT179:DG179,CT179:DG179&gt;BR179))</f>
        <v>2.183543063232584E-2</v>
      </c>
      <c r="DK179" s="2" cm="1">
        <f t="array" aca="1" ref="DK179" ca="1">_FV(EC179,"Fechamento anterior",TRUE)</f>
        <v>3.46</v>
      </c>
      <c r="DL179" s="28">
        <f t="shared" ca="1" si="162"/>
        <v>0.31304790708896213</v>
      </c>
      <c r="DM179" s="15">
        <f t="shared" ref="DM179:DM186" ca="1" si="207">DK179+(DK179*DI179)</f>
        <v>3.4983564533784457</v>
      </c>
      <c r="DN179" s="15">
        <f t="shared" ref="DN179:DN186" ca="1" si="208">DK179+(DK179*DJ179)</f>
        <v>3.5355505899878472</v>
      </c>
      <c r="DO179" s="9"/>
      <c r="DP179" s="9"/>
      <c r="DQ179" s="9"/>
      <c r="DR179" s="89">
        <v>6.1408807785296197E-3</v>
      </c>
      <c r="DS179" s="89">
        <v>1.4705402662092335E-2</v>
      </c>
      <c r="DT179" s="89">
        <v>2.0550993536306676E-2</v>
      </c>
      <c r="DU179" s="89">
        <v>1.0749750465145029E-2</v>
      </c>
      <c r="DV179" s="89">
        <f t="shared" ca="1" si="163"/>
        <v>1.0749750465145029E-2</v>
      </c>
      <c r="DW179" s="72">
        <f t="shared" ca="1" si="164"/>
        <v>-0.28762659136522695</v>
      </c>
      <c r="DX179" s="37"/>
      <c r="DY179" s="35">
        <f t="shared" si="174"/>
        <v>0.39287049039374583</v>
      </c>
      <c r="DZ179" s="56"/>
      <c r="EA179" s="56"/>
      <c r="EC179" s="2" t="e" vm="181">
        <v>#VALUE!</v>
      </c>
      <c r="EE179" s="10" cm="1">
        <f t="array" aca="1" ref="EE179" ca="1">_FV(EC179,"Ações em circulação",TRUE)</f>
        <v>7716400</v>
      </c>
      <c r="EF179" s="18">
        <f>VLOOKUP(BM179,Fundamentus!A:U,5,FALSE)</f>
        <v>3.5000000000000003E-2</v>
      </c>
      <c r="EG179" s="2">
        <f t="shared" ca="1" si="165"/>
        <v>773844685.71428561</v>
      </c>
      <c r="EH179" s="17">
        <v>-32269323.394285712</v>
      </c>
      <c r="EI179" s="17">
        <f t="shared" ca="1" si="166"/>
        <v>-32269323.394285712</v>
      </c>
      <c r="EK179" s="16">
        <f t="shared" ca="1" si="153"/>
        <v>0</v>
      </c>
      <c r="EL179" s="39" t="str">
        <f>IF(VLOOKUP(BM179,Fundamentus!A:U,3,FALSE)&lt;15,"Bom",IF(VLOOKUP(BM179,Fundamentus!A:U,3,FALSE)&gt;15,"Ruim","n/a"))</f>
        <v>Bom</v>
      </c>
      <c r="EM179" s="40" t="str">
        <f>IF(VLOOKUP(BM179,Fundamentus!A:U,4,FALSE)&lt;1,"Baixo",IF(VLOOKUP(BM179,Fundamentus!A:U,4,FALSE)&lt;1.5,"Moderado",IF(VLOOKUP(BM179,Fundamentus!A:U,4,FALSE)&gt;1.5,"Alto","n/a")))</f>
        <v>Baixo</v>
      </c>
      <c r="EN179" s="41" t="str">
        <f>IF(VLOOKUP(BM179,Fundamentus!A:U,8,FALSE)&lt;0,"Risco elevado",IF(VLOOKUP(BM179,Fundamentus!A:U,8,FALSE)&lt;1,"Saudável",IF(VLOOKUP(BM179,Fundamentus!A:U,8,FALSE)&lt;3,"Estável",IF(VLOOKUP(BM179,Fundamentus!A:U,8,FALSE)&gt;3,"Alerta","n/a"))))</f>
        <v>Risco elevado</v>
      </c>
      <c r="EO179" s="40" t="str">
        <f t="shared" si="167"/>
        <v>Ruim</v>
      </c>
      <c r="EP179" s="41" t="str">
        <f>IF(VLOOKUP(BM179,Fundamentus!A:U,12,FALSE)&lt;2,"Subvalorizada",IF(VLOOKUP(BM179,Fundamentus!A:U,12,FALSE)&lt;6,"Muita barata",IF(VLOOKUP(BM179,Fundamentus!A:U,12,FALSE)&lt;6,"Barata",IF(VLOOKUP(BM179,Fundamentus!A:U,12,FALSE)&lt;8,"Atrativa",IF(VLOOKUP(BM179,Fundamentus!A:U,12,FALSE)&gt;8,"Supervalorizada","n/a")))))</f>
        <v>Atrativa</v>
      </c>
      <c r="ER179" s="41" t="str">
        <f>IF(VLOOKUP(BM179,Fundamentus!A:U,17,FALSE)&lt;0.1,"Fraco retorno",IF(VLOOKUP(BM179,Fundamentus!A:U,17,FALSE)&gt;0.1,"Bom retorno","n/a"))</f>
        <v>Fraco retorno</v>
      </c>
      <c r="ES179" s="41" t="str">
        <f>IF(VLOOKUP(BM179,Fundamentus!A:U,16,FALSE)&lt;0.1,"Ineficiente",IF(VLOOKUP(BM179,Fundamentus!A:U,16,FALSE)&gt;0.1,"Eficiente","n/a"))</f>
        <v>Ineficiente</v>
      </c>
      <c r="ET179" s="42" t="str">
        <f>IF(VLOOKUP(BM179,Fundamentus!A:U,16,FALSE)&lt;0.1,"Oper. Ineficiente",IF(VLOOKUP(BM179,Fundamentus!A:U,16,FALSE)&gt;0.1,"Oper.Eficiente","n/a"))</f>
        <v>Oper. Ineficiente</v>
      </c>
      <c r="EU179" s="43">
        <f>VLOOKUP(BM179,Fundamentus!A:U,14,FALSE)</f>
        <v>-4.1700000000000001E-2</v>
      </c>
      <c r="EV179" s="41" t="str">
        <f>IF(VLOOKUP(BM179,Fundamentus!A:U,21,FALSE)&lt;0,"Negativo",IF(VLOOKUP(BM179,Fundamentus!A:U,21,FALSE)&lt;0.05,"Fraco",IF(VLOOKUP(BM179,Fundamentus!A:U,21,FALSE)&lt;0.1,"Bom",IF(VLOOKUP(BM179,Fundamentus!A:U,21,FALSE)&gt;0.1,"Muito bom","n/a"))))</f>
        <v>Muito bom</v>
      </c>
      <c r="EX179" s="44" t="str">
        <f>IF(VLOOKUP(BM179,Fundamentus!A:U,15,FALSE)&gt;1,"Bom",IF(VLOOKUP(BM179,Fundamentus!A:U,15,FALSE)&lt;1,"Ruim","n/a"))</f>
        <v>Ruim</v>
      </c>
      <c r="EY179" s="41" t="str">
        <f>IF(VLOOKUP(BM179,Fundamentus!A:U,20,FALSE)&lt;0.5,"Baixa",IF(VLOOKUP(BM179,Fundamentus!A:U,20,FALSE)&lt;1,"Moderada",IF(VLOOKUP(BM179,Fundamentus!A:U,20,FALSE)&lt;2,"Alerta",IF(VLOOKUP(BM179,Fundamentus!A:U,20,FALSE)&gt;2,"Alta","n/a"))))</f>
        <v>Baixa</v>
      </c>
      <c r="EZ179" s="10"/>
    </row>
    <row r="180" spans="1:156" s="2" customFormat="1" ht="11.25" x14ac:dyDescent="0.2">
      <c r="A180" s="4">
        <v>9.32</v>
      </c>
      <c r="B180" s="4">
        <v>9.27</v>
      </c>
      <c r="C180" s="4">
        <v>8.91</v>
      </c>
      <c r="D180" s="4">
        <v>8.8800000000000008</v>
      </c>
      <c r="E180" s="4">
        <v>8.7899999999999991</v>
      </c>
      <c r="F180" s="4">
        <v>8.41</v>
      </c>
      <c r="G180" s="4">
        <v>7.94</v>
      </c>
      <c r="H180" s="4">
        <v>8.0399999999999991</v>
      </c>
      <c r="I180" s="4">
        <v>8.59</v>
      </c>
      <c r="J180" s="4">
        <v>8.8800000000000008</v>
      </c>
      <c r="K180" s="4">
        <v>9.41</v>
      </c>
      <c r="L180" s="4">
        <v>9.18</v>
      </c>
      <c r="M180" s="4">
        <v>8.99</v>
      </c>
      <c r="N180" s="4">
        <v>9.02</v>
      </c>
      <c r="O180" s="4">
        <v>8.6</v>
      </c>
      <c r="P180" s="4">
        <v>8.5500000000000007</v>
      </c>
      <c r="Q180" s="4">
        <v>8.75</v>
      </c>
      <c r="R180" s="4">
        <v>8.3000000000000007</v>
      </c>
      <c r="S180" s="4">
        <v>8.51</v>
      </c>
      <c r="T180" s="4">
        <v>8.74</v>
      </c>
      <c r="U180" s="4">
        <v>8.2899999999999991</v>
      </c>
      <c r="V180" s="4">
        <v>8</v>
      </c>
      <c r="W180" s="4">
        <v>8.08</v>
      </c>
      <c r="X180" s="4">
        <v>8.1</v>
      </c>
      <c r="Y180" s="4">
        <v>8.0299999999999994</v>
      </c>
      <c r="Z180" s="4">
        <v>8.1300000000000008</v>
      </c>
      <c r="AA180" s="4">
        <v>8.2100000000000009</v>
      </c>
      <c r="AB180" s="4">
        <v>8.85</v>
      </c>
      <c r="AC180" s="4">
        <v>9.17</v>
      </c>
      <c r="AD180" s="4">
        <v>8.44</v>
      </c>
      <c r="AE180" s="4">
        <v>8.06</v>
      </c>
      <c r="AF180" s="4">
        <v>8</v>
      </c>
      <c r="AG180" s="4">
        <v>7.91</v>
      </c>
      <c r="AH180" s="4">
        <v>7.58</v>
      </c>
      <c r="AI180" s="4">
        <v>7.55</v>
      </c>
      <c r="AJ180" s="4">
        <v>7.13</v>
      </c>
      <c r="AK180" s="4">
        <v>7.06</v>
      </c>
      <c r="AL180" s="4">
        <v>7.24</v>
      </c>
      <c r="AM180" s="4">
        <v>7.87</v>
      </c>
      <c r="AN180" s="4">
        <v>8.68</v>
      </c>
      <c r="AO180" s="4">
        <v>8.9600000000000009</v>
      </c>
      <c r="AP180" s="4">
        <v>8.85</v>
      </c>
      <c r="AQ180" s="4">
        <v>8.7799999999999994</v>
      </c>
      <c r="AR180" s="4">
        <v>8.6</v>
      </c>
      <c r="AS180" s="4">
        <v>9.1</v>
      </c>
      <c r="AT180" s="4">
        <v>9.4700000000000006</v>
      </c>
      <c r="AU180" s="4">
        <v>9.58</v>
      </c>
      <c r="AV180" s="4">
        <v>9.5299999999999994</v>
      </c>
      <c r="AW180" s="4">
        <v>9.33</v>
      </c>
      <c r="AX180" s="4">
        <v>9.5399999999999991</v>
      </c>
      <c r="AY180" s="12">
        <v>9.6999999999999993</v>
      </c>
      <c r="AZ180" s="12">
        <v>10.050000000000001</v>
      </c>
      <c r="BA180" s="12">
        <v>10.44</v>
      </c>
      <c r="BB180" s="15">
        <v>10.89</v>
      </c>
      <c r="BC180" s="52">
        <v>10.99</v>
      </c>
      <c r="BD180" s="52">
        <v>11.25</v>
      </c>
      <c r="BE180" s="52">
        <v>11.6</v>
      </c>
      <c r="BF180" s="52">
        <v>11.92</v>
      </c>
      <c r="BG180" s="67">
        <v>11.84</v>
      </c>
      <c r="BH180" s="52">
        <v>12.02</v>
      </c>
      <c r="BI180" s="52">
        <v>12.1</v>
      </c>
      <c r="BJ180" s="52">
        <v>12.61</v>
      </c>
      <c r="BK180" s="52">
        <v>12.65</v>
      </c>
      <c r="BL180" s="52" cm="1">
        <f t="array" aca="1" ref="BL180" ca="1">_FV(EC180,"Preço")</f>
        <v>12.65</v>
      </c>
      <c r="BM180" s="66" t="s">
        <v>89</v>
      </c>
      <c r="BN180" s="36" cm="1">
        <f t="array" aca="1" ref="BN180" ca="1">_FV(EC180,"Média de volume",TRUE)</f>
        <v>411430</v>
      </c>
      <c r="BO180" s="36">
        <v>394000</v>
      </c>
      <c r="BP180" s="36" cm="1">
        <f t="array" aca="1" ref="BP180" ca="1">_FV(EC180,"Volume")</f>
        <v>394000</v>
      </c>
      <c r="BQ180" s="24" cm="1">
        <f t="array" aca="1" ref="BQ180" ca="1">_FV(EC180,"Beta")</f>
        <v>1.1625000000000001</v>
      </c>
      <c r="BR180" s="71" cm="1">
        <f t="array" aca="1" ref="BR180" ca="1">_FV(EC180,"Variação (%)",TRUE)</f>
        <v>5.5640000000000004E-3</v>
      </c>
      <c r="BT180" s="17" cm="1">
        <f t="array" aca="1" ref="BT180" ca="1">_FV(EC180,"Baixo")</f>
        <v>12.4</v>
      </c>
      <c r="BU180" s="17" cm="1">
        <f t="array" aca="1" ref="BU180" ca="1">_FV(EC180,"Alto")</f>
        <v>12.7</v>
      </c>
      <c r="BV180" s="24"/>
      <c r="BW180" s="17">
        <f ca="1">SQRT(22.5*(BL180/VLOOKUP(BM180,Fundamentus!A:U,3,FALSE))*(BL180/VLOOKUP(BM180,Fundamentus!A:U,4,FALSE)))</f>
        <v>18.992100589261494</v>
      </c>
      <c r="BY180" s="62">
        <f t="shared" ca="1" si="168"/>
        <v>0</v>
      </c>
      <c r="BZ180" s="8"/>
      <c r="CA180" s="61">
        <f t="shared" si="169"/>
        <v>7.06</v>
      </c>
      <c r="CB180" s="61">
        <f t="shared" si="170"/>
        <v>12.65</v>
      </c>
      <c r="CC180" s="61">
        <f t="shared" si="171"/>
        <v>9.1311111111111121</v>
      </c>
      <c r="CD180" s="14"/>
      <c r="CE180" s="35">
        <f t="shared" si="154"/>
        <v>11.821882592367377</v>
      </c>
      <c r="CF180" s="15">
        <f t="shared" si="172"/>
        <v>12.464999999999918</v>
      </c>
      <c r="CG180" s="35">
        <f t="shared" si="155"/>
        <v>13.108117407632459</v>
      </c>
      <c r="CI180" s="14"/>
      <c r="CJ180" s="17">
        <f t="shared" si="156"/>
        <v>3.3066666666666658</v>
      </c>
      <c r="CK180" s="17">
        <f t="shared" si="157"/>
        <v>5.1833333333333327</v>
      </c>
      <c r="CL180" s="17">
        <f t="shared" si="158"/>
        <v>8.8966666666666665</v>
      </c>
      <c r="CM180" s="38">
        <f t="shared" si="173"/>
        <v>10.773333333333333</v>
      </c>
      <c r="CN180" s="17">
        <f t="shared" si="159"/>
        <v>14.486666666666668</v>
      </c>
      <c r="CO180" s="17">
        <f t="shared" si="160"/>
        <v>16.363333333333333</v>
      </c>
      <c r="CP180" s="17">
        <f t="shared" si="161"/>
        <v>20.076666666666668</v>
      </c>
      <c r="CQ180" s="2" cm="1">
        <f t="array" aca="1" ref="CQ180" ca="1">MAX(_xlfn._xlws.FILTER(CJ180:CP180,CJ180:CP180&lt;BL180))</f>
        <v>10.773333333333333</v>
      </c>
      <c r="CR180" s="2" cm="1">
        <f t="array" aca="1" ref="CR180" ca="1">MIN(_xlfn._xlws.FILTER($CJ180:$CP180,$CJ180:$CP180&gt;BL180))</f>
        <v>14.486666666666668</v>
      </c>
      <c r="CS180" s="16">
        <f t="shared" ca="1" si="192"/>
        <v>0.34467821782178221</v>
      </c>
      <c r="CT180" s="20">
        <f t="shared" ca="1" si="193"/>
        <v>-0.1723391089108911</v>
      </c>
      <c r="CU180" s="20">
        <f t="shared" ca="1" si="194"/>
        <v>-0.1148927392739274</v>
      </c>
      <c r="CV180" s="20">
        <f t="shared" ca="1" si="195"/>
        <v>-6.8935643564356441E-2</v>
      </c>
      <c r="CW180" s="20">
        <f t="shared" ca="1" si="196"/>
        <v>-3.8297579757975798E-2</v>
      </c>
      <c r="CX180" s="20">
        <f t="shared" ca="1" si="197"/>
        <v>-2.0275189283634247E-2</v>
      </c>
      <c r="CY180" s="20">
        <f t="shared" ca="1" si="198"/>
        <v>-1.0444794479447945E-2</v>
      </c>
      <c r="CZ180" s="20">
        <f t="shared" ca="1" si="199"/>
        <v>-5.3027418126428034E-3</v>
      </c>
      <c r="DA180" s="21">
        <f t="shared" ca="1" si="200"/>
        <v>5.3027418126428034E-3</v>
      </c>
      <c r="DB180" s="21">
        <f t="shared" ca="1" si="201"/>
        <v>1.0444794479447945E-2</v>
      </c>
      <c r="DC180" s="21">
        <f t="shared" ca="1" si="202"/>
        <v>2.0275189283634247E-2</v>
      </c>
      <c r="DD180" s="21">
        <f t="shared" ca="1" si="203"/>
        <v>3.8297579757975798E-2</v>
      </c>
      <c r="DE180" s="21">
        <f t="shared" ca="1" si="204"/>
        <v>6.8935643564356441E-2</v>
      </c>
      <c r="DF180" s="21">
        <f t="shared" ca="1" si="205"/>
        <v>0.1148927392739274</v>
      </c>
      <c r="DG180" s="21">
        <f t="shared" ca="1" si="206"/>
        <v>0.1723391089108911</v>
      </c>
      <c r="DI180" s="16" cm="1">
        <f t="array" aca="1" ref="DI180" ca="1">MAX(_xlfn._xlws.FILTER(CT180:DG180,CT180:DG180&lt;BR180))</f>
        <v>5.3027418126428034E-3</v>
      </c>
      <c r="DJ180" s="16" cm="1">
        <f t="array" aca="1" ref="DJ180" ca="1">MIN(_xlfn._xlws.FILTER(CT180:DG180,CT180:DG180&gt;BR180))</f>
        <v>1.0444794479447945E-2</v>
      </c>
      <c r="DK180" s="2" cm="1">
        <f t="array" aca="1" ref="DK180" ca="1">_FV(EC180,"Fechamento anterior",TRUE)</f>
        <v>12.58</v>
      </c>
      <c r="DL180" s="28">
        <f t="shared" ca="1" si="162"/>
        <v>5.0883590978245498E-2</v>
      </c>
      <c r="DM180" s="15">
        <f t="shared" ca="1" si="207"/>
        <v>12.646708492003047</v>
      </c>
      <c r="DN180" s="15">
        <f t="shared" ca="1" si="208"/>
        <v>12.711395514551455</v>
      </c>
      <c r="DO180" s="9"/>
      <c r="DP180" s="9"/>
      <c r="DQ180" s="9"/>
      <c r="DR180" s="89">
        <v>3.1420489918513607E-3</v>
      </c>
      <c r="DS180" s="89">
        <v>4.6662400977780629E-3</v>
      </c>
      <c r="DT180" s="89">
        <v>1.7979930509998309E-2</v>
      </c>
      <c r="DU180" s="89">
        <v>5.1299382154400769E-3</v>
      </c>
      <c r="DV180" s="89">
        <f t="shared" ca="1" si="163"/>
        <v>5.1420526668051417E-3</v>
      </c>
      <c r="DW180" s="75">
        <f t="shared" ca="1" si="164"/>
        <v>0.28766131627677211</v>
      </c>
      <c r="DX180" s="37"/>
      <c r="DY180" s="35">
        <f t="shared" si="174"/>
        <v>0.32155870381627061</v>
      </c>
      <c r="DZ180" s="56"/>
      <c r="EA180" s="56"/>
      <c r="EC180" s="2" t="e" vm="182">
        <v>#VALUE!</v>
      </c>
      <c r="EE180" s="10" cm="1">
        <f t="array" aca="1" ref="EE180" ca="1">_FV(EC180,"Ações em circulação",TRUE)</f>
        <v>195434400</v>
      </c>
      <c r="EF180" s="18">
        <f>VLOOKUP(BM180,Fundamentus!A:U,5,FALSE)</f>
        <v>1.4470000000000001</v>
      </c>
      <c r="EG180" s="2">
        <f t="shared" ca="1" si="165"/>
        <v>1708531554.9412577</v>
      </c>
      <c r="EH180" s="17">
        <v>445243323.21769178</v>
      </c>
      <c r="EI180" s="17">
        <f t="shared" ca="1" si="166"/>
        <v>445243323.21769178</v>
      </c>
      <c r="EK180" s="16">
        <f t="shared" ca="1" si="153"/>
        <v>0</v>
      </c>
      <c r="EL180" s="32" t="str">
        <f>IF(VLOOKUP(BM180,Fundamentus!A:U,3,FALSE)&lt;15,"Bom",IF(VLOOKUP(BM180,Fundamentus!A:U,3,FALSE)&gt;15,"Ruim","n/a"))</f>
        <v>Bom</v>
      </c>
      <c r="EM180" s="28" t="str">
        <f>IF(VLOOKUP(BM180,Fundamentus!A:U,4,FALSE)&lt;1,"Baixo",IF(VLOOKUP(BM180,Fundamentus!A:U,4,FALSE)&lt;1.5,"Moderado",IF(VLOOKUP(BM180,Fundamentus!A:U,4,FALSE)&gt;1.5,"Alto","n/a")))</f>
        <v>Alto</v>
      </c>
      <c r="EN180" s="17" t="str">
        <f>IF(VLOOKUP(BM180,Fundamentus!A:U,8,FALSE)&lt;0,"Risco elevado",IF(VLOOKUP(BM180,Fundamentus!A:U,8,FALSE)&lt;1,"Saudável",IF(VLOOKUP(BM180,Fundamentus!A:U,8,FALSE)&lt;3,"Estável",IF(VLOOKUP(BM180,Fundamentus!A:U,8,FALSE)&gt;3,"Alerta","n/a"))))</f>
        <v>Estável</v>
      </c>
      <c r="EO180" s="28" t="str">
        <f t="shared" si="167"/>
        <v>Bom</v>
      </c>
      <c r="EP180" s="17" t="str">
        <f>IF(VLOOKUP(BM180,Fundamentus!A:U,12,FALSE)&lt;2,"Subvalorizada",IF(VLOOKUP(BM180,Fundamentus!A:U,12,FALSE)&lt;6,"Muita barata",IF(VLOOKUP(BM180,Fundamentus!A:U,12,FALSE)&lt;6,"Barata",IF(VLOOKUP(BM180,Fundamentus!A:U,12,FALSE)&lt;8,"Atrativa",IF(VLOOKUP(BM180,Fundamentus!A:U,12,FALSE)&gt;8,"Supervalorizada","n/a")))))</f>
        <v>Atrativa</v>
      </c>
      <c r="ER180" s="17" t="str">
        <f>IF(VLOOKUP(BM180,Fundamentus!A:U,17,FALSE)&lt;0.1,"Fraco retorno",IF(VLOOKUP(BM180,Fundamentus!A:U,17,FALSE)&gt;0.1,"Bom retorno","n/a"))</f>
        <v>Bom retorno</v>
      </c>
      <c r="ES180" s="17" t="str">
        <f>IF(VLOOKUP(BM180,Fundamentus!A:U,16,FALSE)&lt;0.1,"Ineficiente",IF(VLOOKUP(BM180,Fundamentus!A:U,16,FALSE)&gt;0.1,"Eficiente","n/a"))</f>
        <v>Eficiente</v>
      </c>
      <c r="ET180" s="33" t="str">
        <f>IF(VLOOKUP(BM180,Fundamentus!A:U,16,FALSE)&lt;0.1,"Oper. Ineficiente",IF(VLOOKUP(BM180,Fundamentus!A:U,16,FALSE)&gt;0.1,"Oper.Eficiente","n/a"))</f>
        <v>Oper.Eficiente</v>
      </c>
      <c r="EU180" s="34">
        <f>VLOOKUP(BM180,Fundamentus!A:U,14,FALSE)</f>
        <v>0.2606</v>
      </c>
      <c r="EV180" s="17" t="str">
        <f>IF(VLOOKUP(BM180,Fundamentus!A:U,21,FALSE)&lt;0,"Negativo",IF(VLOOKUP(BM180,Fundamentus!A:U,21,FALSE)&lt;0.05,"Fraco",IF(VLOOKUP(BM180,Fundamentus!A:U,21,FALSE)&lt;0.1,"Bom",IF(VLOOKUP(BM180,Fundamentus!A:U,21,FALSE)&gt;0.1,"Muito bom","n/a"))))</f>
        <v>Muito bom</v>
      </c>
      <c r="EX180" s="29" t="str">
        <f>IF(VLOOKUP(BM180,Fundamentus!A:U,15,FALSE)&gt;1,"Bom",IF(VLOOKUP(BM180,Fundamentus!A:U,15,FALSE)&lt;1,"Ruim","n/a"))</f>
        <v>Bom</v>
      </c>
      <c r="EY180" s="17" t="str">
        <f>IF(VLOOKUP(BM180,Fundamentus!A:U,20,FALSE)&lt;0.5,"Baixa",IF(VLOOKUP(BM180,Fundamentus!A:U,20,FALSE)&lt;1,"Moderada",IF(VLOOKUP(BM180,Fundamentus!A:U,20,FALSE)&lt;2,"Alerta",IF(VLOOKUP(BM180,Fundamentus!A:U,20,FALSE)&gt;2,"Alta","n/a"))))</f>
        <v>Baixa</v>
      </c>
      <c r="EZ180" s="10"/>
    </row>
    <row r="181" spans="1:156" s="2" customFormat="1" ht="11.25" x14ac:dyDescent="0.2">
      <c r="A181" s="4">
        <v>10.1</v>
      </c>
      <c r="B181" s="4">
        <v>9.7799999999999994</v>
      </c>
      <c r="C181" s="4">
        <v>10.25</v>
      </c>
      <c r="D181" s="4">
        <v>10.23</v>
      </c>
      <c r="E181" s="4">
        <v>9.51</v>
      </c>
      <c r="F181" s="4">
        <v>9.52</v>
      </c>
      <c r="G181" s="4">
        <v>9.2799999999999994</v>
      </c>
      <c r="H181" s="4">
        <v>9.11</v>
      </c>
      <c r="I181" s="4">
        <v>9.9499999999999993</v>
      </c>
      <c r="J181" s="4">
        <v>9.24</v>
      </c>
      <c r="K181" s="4">
        <v>9.09</v>
      </c>
      <c r="L181" s="4">
        <v>9.1300000000000008</v>
      </c>
      <c r="M181" s="4">
        <v>8.32</v>
      </c>
      <c r="N181" s="4">
        <v>8.24</v>
      </c>
      <c r="O181" s="4">
        <v>8</v>
      </c>
      <c r="P181" s="4">
        <v>7.74</v>
      </c>
      <c r="Q181" s="4">
        <v>7.74</v>
      </c>
      <c r="R181" s="4">
        <v>7.84</v>
      </c>
      <c r="S181" s="4">
        <v>7.72</v>
      </c>
      <c r="T181" s="4">
        <v>7.45</v>
      </c>
      <c r="U181" s="4">
        <v>7.3</v>
      </c>
      <c r="V181" s="4">
        <v>7</v>
      </c>
      <c r="W181" s="4">
        <v>6.95</v>
      </c>
      <c r="X181" s="4">
        <v>6.74</v>
      </c>
      <c r="Y181" s="4">
        <v>6.56</v>
      </c>
      <c r="Z181" s="4">
        <v>6.49</v>
      </c>
      <c r="AA181" s="4">
        <v>6.3</v>
      </c>
      <c r="AB181" s="4">
        <v>6.33</v>
      </c>
      <c r="AC181" s="4">
        <v>6.01</v>
      </c>
      <c r="AD181" s="4">
        <v>6.23</v>
      </c>
      <c r="AE181" s="4">
        <v>6.1</v>
      </c>
      <c r="AF181" s="4">
        <v>5.94</v>
      </c>
      <c r="AG181" s="4">
        <v>5.94</v>
      </c>
      <c r="AH181" s="4">
        <v>5.81</v>
      </c>
      <c r="AI181" s="4">
        <v>5.87</v>
      </c>
      <c r="AJ181" s="4">
        <v>5.86</v>
      </c>
      <c r="AK181" s="4">
        <v>5.94</v>
      </c>
      <c r="AL181" s="4">
        <v>5.99</v>
      </c>
      <c r="AM181" s="4">
        <v>5.86</v>
      </c>
      <c r="AN181" s="4">
        <v>5.86</v>
      </c>
      <c r="AO181" s="4">
        <v>6.41</v>
      </c>
      <c r="AP181" s="4">
        <v>7.14</v>
      </c>
      <c r="AQ181" s="4">
        <v>6.34</v>
      </c>
      <c r="AR181" s="4">
        <v>6.5</v>
      </c>
      <c r="AS181" s="4">
        <v>6.73</v>
      </c>
      <c r="AT181" s="4">
        <v>7.01</v>
      </c>
      <c r="AU181" s="4">
        <v>6.9849999999999994</v>
      </c>
      <c r="AV181" s="4">
        <v>6.4</v>
      </c>
      <c r="AW181" s="4">
        <v>7.14</v>
      </c>
      <c r="AX181" s="4">
        <v>7.4</v>
      </c>
      <c r="AY181" s="12">
        <v>7.5</v>
      </c>
      <c r="AZ181" s="12">
        <v>7.19</v>
      </c>
      <c r="BA181" s="12">
        <v>6.95</v>
      </c>
      <c r="BB181" s="15">
        <v>6.95</v>
      </c>
      <c r="BC181" s="52">
        <v>7.95</v>
      </c>
      <c r="BD181" s="52">
        <v>8.98</v>
      </c>
      <c r="BE181" s="52">
        <v>8.9499999999999993</v>
      </c>
      <c r="BF181" s="52">
        <v>8.6999999999999993</v>
      </c>
      <c r="BG181" s="67">
        <v>9.18</v>
      </c>
      <c r="BH181" s="52">
        <v>8.64</v>
      </c>
      <c r="BI181" s="52">
        <v>8.73</v>
      </c>
      <c r="BJ181" s="52">
        <v>8.6</v>
      </c>
      <c r="BK181" s="52">
        <v>8.09</v>
      </c>
      <c r="BL181" s="52" cm="1">
        <f t="array" aca="1" ref="BL181" ca="1">_FV(EC181,"Preço")</f>
        <v>8.09</v>
      </c>
      <c r="BM181" s="69" t="s">
        <v>177</v>
      </c>
      <c r="BN181" s="36" cm="1">
        <f t="array" aca="1" ref="BN181" ca="1">_FV(EC181,"Média de volume",TRUE)</f>
        <v>1082620</v>
      </c>
      <c r="BO181" s="36">
        <v>1300</v>
      </c>
      <c r="BP181" s="36" cm="1">
        <f t="array" aca="1" ref="BP181" ca="1">_FV(EC181,"Volume")</f>
        <v>1300</v>
      </c>
      <c r="BQ181" s="24" cm="1">
        <f t="array" aca="1" ref="BQ181" ca="1">_FV(EC181,"Beta")</f>
        <v>0.9546</v>
      </c>
      <c r="BR181" s="71" cm="1">
        <f t="array" aca="1" ref="BR181" ca="1">_FV(EC181,"Variação (%)",TRUE)</f>
        <v>-1.235E-3</v>
      </c>
      <c r="BT181" s="17" cm="1">
        <f t="array" aca="1" ref="BT181" ca="1">_FV(EC181,"Baixo")</f>
        <v>8.0500000000000007</v>
      </c>
      <c r="BU181" s="17" cm="1">
        <f t="array" aca="1" ref="BU181" ca="1">_FV(EC181,"Alto")</f>
        <v>8.09</v>
      </c>
      <c r="BV181" s="24"/>
      <c r="BW181" s="63">
        <f ca="1">SQRT(22.5*(BL181/VLOOKUP(BM181,Fundamentus!A:U,3,FALSE))*(BL181/VLOOKUP(BM181,Fundamentus!A:U,4,FALSE)))</f>
        <v>5.4428260113280587</v>
      </c>
      <c r="BY181" s="62">
        <f t="shared" ca="1" si="168"/>
        <v>0</v>
      </c>
      <c r="BZ181" s="8"/>
      <c r="CA181" s="61">
        <f t="shared" si="169"/>
        <v>5.81</v>
      </c>
      <c r="CB181" s="61">
        <f t="shared" si="170"/>
        <v>10.25</v>
      </c>
      <c r="CC181" s="61">
        <f t="shared" si="171"/>
        <v>7.5838888888888896</v>
      </c>
      <c r="CD181" s="14"/>
      <c r="CE181" s="35">
        <f t="shared" si="154"/>
        <v>7.7905299202776659</v>
      </c>
      <c r="CF181" s="15">
        <f t="shared" si="172"/>
        <v>8.4259999999999309</v>
      </c>
      <c r="CG181" s="35">
        <f t="shared" si="155"/>
        <v>9.0614700797221968</v>
      </c>
      <c r="CI181" s="14"/>
      <c r="CJ181" s="17">
        <f t="shared" si="156"/>
        <v>1.7499999999999973</v>
      </c>
      <c r="CK181" s="17">
        <f t="shared" si="157"/>
        <v>3.7799999999999985</v>
      </c>
      <c r="CL181" s="17">
        <f t="shared" si="158"/>
        <v>6.1899999999999977</v>
      </c>
      <c r="CM181" s="38">
        <f t="shared" si="173"/>
        <v>8.2199999999999989</v>
      </c>
      <c r="CN181" s="17">
        <f t="shared" si="159"/>
        <v>10.629999999999999</v>
      </c>
      <c r="CO181" s="17">
        <f t="shared" si="160"/>
        <v>12.66</v>
      </c>
      <c r="CP181" s="17">
        <f t="shared" si="161"/>
        <v>15.069999999999999</v>
      </c>
      <c r="CQ181" s="2" cm="1">
        <f t="array" aca="1" ref="CQ181" ca="1">MAX(_xlfn._xlws.FILTER(CJ181:CP181,CJ181:CP181&lt;BL181))</f>
        <v>6.1899999999999977</v>
      </c>
      <c r="CR181" s="2" cm="1">
        <f t="array" aca="1" ref="CR181" ca="1">MIN(_xlfn._xlws.FILTER($CJ181:$CP181,$CJ181:$CP181&gt;BL181))</f>
        <v>8.2199999999999989</v>
      </c>
      <c r="CS181" s="16">
        <f t="shared" ca="1" si="192"/>
        <v>0.32794830371567074</v>
      </c>
      <c r="CT181" s="20">
        <f t="shared" ca="1" si="193"/>
        <v>-0.16397415185783537</v>
      </c>
      <c r="CU181" s="20">
        <f t="shared" ca="1" si="194"/>
        <v>-0.10931610123855691</v>
      </c>
      <c r="CV181" s="20">
        <f t="shared" ca="1" si="195"/>
        <v>-6.5589660743134146E-2</v>
      </c>
      <c r="CW181" s="20">
        <f t="shared" ca="1" si="196"/>
        <v>-3.6438700412852305E-2</v>
      </c>
      <c r="CX181" s="20">
        <f t="shared" ca="1" si="197"/>
        <v>-1.9291076689157104E-2</v>
      </c>
      <c r="CY181" s="20">
        <f t="shared" ca="1" si="198"/>
        <v>-9.9378273853233563E-3</v>
      </c>
      <c r="CZ181" s="20">
        <f t="shared" ca="1" si="199"/>
        <v>-5.0453585187026266E-3</v>
      </c>
      <c r="DA181" s="21">
        <f t="shared" ca="1" si="200"/>
        <v>5.0453585187026266E-3</v>
      </c>
      <c r="DB181" s="21">
        <f t="shared" ca="1" si="201"/>
        <v>9.9378273853233563E-3</v>
      </c>
      <c r="DC181" s="21">
        <f t="shared" ca="1" si="202"/>
        <v>1.9291076689157104E-2</v>
      </c>
      <c r="DD181" s="21">
        <f t="shared" ca="1" si="203"/>
        <v>3.6438700412852305E-2</v>
      </c>
      <c r="DE181" s="21">
        <f t="shared" ca="1" si="204"/>
        <v>6.5589660743134146E-2</v>
      </c>
      <c r="DF181" s="21">
        <f t="shared" ca="1" si="205"/>
        <v>0.10931610123855691</v>
      </c>
      <c r="DG181" s="21">
        <f t="shared" ca="1" si="206"/>
        <v>0.16397415185783537</v>
      </c>
      <c r="DI181" s="16" cm="1">
        <f t="array" aca="1" ref="DI181" ca="1">MAX(_xlfn._xlws.FILTER(CT181:DG181,CT181:DG181&lt;BR181))</f>
        <v>-5.0453585187026266E-3</v>
      </c>
      <c r="DJ181" s="16" cm="1">
        <f t="array" aca="1" ref="DJ181" ca="1">MIN(_xlfn._xlws.FILTER(CT181:DG181,CT181:DG181&gt;BR181))</f>
        <v>5.0453585187026266E-3</v>
      </c>
      <c r="DK181" s="2" cm="1">
        <f t="array" aca="1" ref="DK181" ca="1">_FV(EC181,"Fechamento anterior",TRUE)</f>
        <v>8.1</v>
      </c>
      <c r="DL181" s="28">
        <f t="shared" ca="1" si="162"/>
        <v>0.37765310466459923</v>
      </c>
      <c r="DM181" s="15">
        <f t="shared" ca="1" si="207"/>
        <v>8.0591325959985092</v>
      </c>
      <c r="DN181" s="15">
        <f t="shared" ca="1" si="208"/>
        <v>8.1408674040014901</v>
      </c>
      <c r="DO181" s="9"/>
      <c r="DP181" s="9"/>
      <c r="DQ181" s="9"/>
      <c r="DR181" s="89">
        <v>6.5475553653578742E-3</v>
      </c>
      <c r="DS181" s="89">
        <v>2.750484240183132E-2</v>
      </c>
      <c r="DT181" s="89">
        <v>8.3618494953832043E-3</v>
      </c>
      <c r="DU181" s="89">
        <v>1.0090717037405253E-2</v>
      </c>
      <c r="DV181" s="89">
        <f t="shared" ca="1" si="163"/>
        <v>1.0090717037405253E-2</v>
      </c>
      <c r="DW181" s="72">
        <f t="shared" ca="1" si="164"/>
        <v>-0.52874243921410324</v>
      </c>
      <c r="DX181" s="37"/>
      <c r="DY181" s="35">
        <f t="shared" si="174"/>
        <v>0.31773503986113261</v>
      </c>
      <c r="DZ181" s="56"/>
      <c r="EA181" s="56"/>
      <c r="EC181" s="2" t="e" vm="183">
        <v>#VALUE!</v>
      </c>
      <c r="EE181" s="10" cm="1">
        <f t="array" aca="1" ref="EE181" ca="1">_FV(EC181,"Ações em circulação",TRUE)</f>
        <v>683062200</v>
      </c>
      <c r="EF181" s="18">
        <f>VLOOKUP(BM181,Fundamentus!A:U,5,FALSE)</f>
        <v>1.4690000000000001</v>
      </c>
      <c r="EG181" s="2">
        <f t="shared" ca="1" si="165"/>
        <v>3761724437.0319943</v>
      </c>
      <c r="EH181" s="17">
        <v>171910806.77236214</v>
      </c>
      <c r="EI181" s="17">
        <f t="shared" ca="1" si="166"/>
        <v>171910806.77236214</v>
      </c>
      <c r="EK181" s="16">
        <f t="shared" ca="1" si="153"/>
        <v>0</v>
      </c>
      <c r="EL181" s="45" t="str">
        <f>IF(VLOOKUP(BM181,Fundamentus!A:U,3,FALSE)&lt;15,"Bom",IF(VLOOKUP(BM181,Fundamentus!A:U,3,FALSE)&gt;15,"Ruim","n/a"))</f>
        <v>Ruim</v>
      </c>
      <c r="EM181" s="46" t="str">
        <f>IF(VLOOKUP(BM181,Fundamentus!A:U,4,FALSE)&lt;1,"Baixo",IF(VLOOKUP(BM181,Fundamentus!A:U,4,FALSE)&lt;1.5,"Moderado",IF(VLOOKUP(BM181,Fundamentus!A:U,4,FALSE)&gt;1.5,"Alto","n/a")))</f>
        <v>Alto</v>
      </c>
      <c r="EN181" s="30" t="str">
        <f>IF(VLOOKUP(BM181,Fundamentus!A:U,8,FALSE)&lt;0,"Risco elevado",IF(VLOOKUP(BM181,Fundamentus!A:U,8,FALSE)&lt;1,"Saudável",IF(VLOOKUP(BM181,Fundamentus!A:U,8,FALSE)&lt;3,"Estável",IF(VLOOKUP(BM181,Fundamentus!A:U,8,FALSE)&gt;3,"Alerta","n/a"))))</f>
        <v>Alerta</v>
      </c>
      <c r="EO181" s="46" t="str">
        <f t="shared" si="167"/>
        <v>Bom</v>
      </c>
      <c r="EP181" s="30" t="str">
        <f>IF(VLOOKUP(BM181,Fundamentus!A:U,12,FALSE)&lt;2,"Subvalorizada",IF(VLOOKUP(BM181,Fundamentus!A:U,12,FALSE)&lt;6,"Muita barata",IF(VLOOKUP(BM181,Fundamentus!A:U,12,FALSE)&lt;6,"Barata",IF(VLOOKUP(BM181,Fundamentus!A:U,12,FALSE)&lt;8,"Atrativa",IF(VLOOKUP(BM181,Fundamentus!A:U,12,FALSE)&gt;8,"Supervalorizada","n/a")))))</f>
        <v>Supervalorizada</v>
      </c>
      <c r="ER181" s="30" t="str">
        <f>IF(VLOOKUP(BM181,Fundamentus!A:U,17,FALSE)&lt;0.1,"Fraco retorno",IF(VLOOKUP(BM181,Fundamentus!A:U,17,FALSE)&gt;0.1,"Bom retorno","n/a"))</f>
        <v>Fraco retorno</v>
      </c>
      <c r="ES181" s="30" t="str">
        <f>IF(VLOOKUP(BM181,Fundamentus!A:U,16,FALSE)&lt;0.1,"Ineficiente",IF(VLOOKUP(BM181,Fundamentus!A:U,16,FALSE)&gt;0.1,"Eficiente","n/a"))</f>
        <v>Ineficiente</v>
      </c>
      <c r="ET181" s="49" t="str">
        <f>IF(VLOOKUP(BM181,Fundamentus!A:U,16,FALSE)&lt;0.1,"Oper. Ineficiente",IF(VLOOKUP(BM181,Fundamentus!A:U,16,FALSE)&gt;0.1,"Oper.Eficiente","n/a"))</f>
        <v>Oper. Ineficiente</v>
      </c>
      <c r="EU181" s="48">
        <f>VLOOKUP(BM181,Fundamentus!A:U,14,FALSE)</f>
        <v>4.5699999999999998E-2</v>
      </c>
      <c r="EV181" s="30" t="str">
        <f>IF(VLOOKUP(BM181,Fundamentus!A:U,21,FALSE)&lt;0,"Negativo",IF(VLOOKUP(BM181,Fundamentus!A:U,21,FALSE)&lt;0.05,"Fraco",IF(VLOOKUP(BM181,Fundamentus!A:U,21,FALSE)&lt;0.1,"Bom",IF(VLOOKUP(BM181,Fundamentus!A:U,21,FALSE)&gt;0.1,"Muito bom","n/a"))))</f>
        <v>Fraco</v>
      </c>
      <c r="EX181" s="31" t="str">
        <f>IF(VLOOKUP(BM181,Fundamentus!A:U,15,FALSE)&gt;1,"Bom",IF(VLOOKUP(BM181,Fundamentus!A:U,15,FALSE)&lt;1,"Ruim","n/a"))</f>
        <v>Bom</v>
      </c>
      <c r="EY181" s="30" t="str">
        <f>IF(VLOOKUP(BM181,Fundamentus!A:U,20,FALSE)&lt;0.5,"Baixa",IF(VLOOKUP(BM181,Fundamentus!A:U,20,FALSE)&lt;1,"Moderada",IF(VLOOKUP(BM181,Fundamentus!A:U,20,FALSE)&lt;2,"Alerta",IF(VLOOKUP(BM181,Fundamentus!A:U,20,FALSE)&gt;2,"Alta","n/a"))))</f>
        <v>Baixa</v>
      </c>
      <c r="EZ181" s="10"/>
    </row>
    <row r="182" spans="1:156" s="2" customFormat="1" ht="11.25" x14ac:dyDescent="0.2">
      <c r="A182" s="4">
        <v>3.89</v>
      </c>
      <c r="B182" s="4">
        <v>4</v>
      </c>
      <c r="C182" s="4">
        <v>4.26</v>
      </c>
      <c r="D182" s="4">
        <v>3.95</v>
      </c>
      <c r="E182" s="4">
        <v>3.81</v>
      </c>
      <c r="F182" s="4">
        <v>3.76</v>
      </c>
      <c r="G182" s="4">
        <v>3.36</v>
      </c>
      <c r="H182" s="4">
        <v>3.42</v>
      </c>
      <c r="I182" s="4">
        <v>3.57</v>
      </c>
      <c r="J182" s="4">
        <v>3.52</v>
      </c>
      <c r="K182" s="4">
        <v>3.71</v>
      </c>
      <c r="L182" s="4">
        <v>3.54</v>
      </c>
      <c r="M182" s="4">
        <v>3.44</v>
      </c>
      <c r="N182" s="4">
        <v>3.44</v>
      </c>
      <c r="O182" s="4">
        <v>4.05</v>
      </c>
      <c r="P182" s="4">
        <v>3.86</v>
      </c>
      <c r="Q182" s="4">
        <v>3.89</v>
      </c>
      <c r="R182" s="4">
        <v>3.69</v>
      </c>
      <c r="S182" s="4">
        <v>3.82</v>
      </c>
      <c r="T182" s="4">
        <v>4.07</v>
      </c>
      <c r="U182" s="4">
        <v>3.9</v>
      </c>
      <c r="V182" s="4">
        <v>4.04</v>
      </c>
      <c r="W182" s="4">
        <v>3.82</v>
      </c>
      <c r="X182" s="4">
        <v>3.73</v>
      </c>
      <c r="Y182" s="4">
        <v>3.74</v>
      </c>
      <c r="Z182" s="4">
        <v>3.61</v>
      </c>
      <c r="AA182" s="4">
        <v>3.55</v>
      </c>
      <c r="AB182" s="4">
        <v>3.44</v>
      </c>
      <c r="AC182" s="4">
        <v>3.4</v>
      </c>
      <c r="AD182" s="4">
        <v>3.23</v>
      </c>
      <c r="AE182" s="4">
        <v>3</v>
      </c>
      <c r="AF182" s="4">
        <v>2.8</v>
      </c>
      <c r="AG182" s="4">
        <v>2.48</v>
      </c>
      <c r="AH182" s="4">
        <v>2.52</v>
      </c>
      <c r="AI182" s="4">
        <v>2.2999999999999998</v>
      </c>
      <c r="AJ182" s="4">
        <v>2.2999999999999998</v>
      </c>
      <c r="AK182" s="4">
        <v>2.33</v>
      </c>
      <c r="AL182" s="4">
        <v>2.2999999999999998</v>
      </c>
      <c r="AM182" s="4">
        <v>2.23</v>
      </c>
      <c r="AN182" s="4">
        <v>2.2200000000000002</v>
      </c>
      <c r="AO182" s="4">
        <v>2.2000000000000002</v>
      </c>
      <c r="AP182" s="4">
        <v>2.2599999999999998</v>
      </c>
      <c r="AQ182" s="4">
        <v>2.19</v>
      </c>
      <c r="AR182" s="4">
        <v>2.2000000000000002</v>
      </c>
      <c r="AS182" s="4">
        <v>2.25</v>
      </c>
      <c r="AT182" s="4">
        <v>2.4500000000000002</v>
      </c>
      <c r="AU182" s="4">
        <v>2.665</v>
      </c>
      <c r="AV182" s="4">
        <v>3.03</v>
      </c>
      <c r="AW182" s="4">
        <v>2.78</v>
      </c>
      <c r="AX182" s="4">
        <v>2.77</v>
      </c>
      <c r="AY182" s="12">
        <v>2.93</v>
      </c>
      <c r="AZ182" s="12">
        <v>2.95</v>
      </c>
      <c r="BA182" s="12">
        <v>2.75</v>
      </c>
      <c r="BB182" s="15">
        <v>3.1</v>
      </c>
      <c r="BC182" s="52">
        <v>3.07</v>
      </c>
      <c r="BD182" s="52">
        <v>3.04</v>
      </c>
      <c r="BE182" s="52">
        <v>3.4</v>
      </c>
      <c r="BF182" s="52">
        <v>3.21</v>
      </c>
      <c r="BG182" s="67">
        <v>3.86</v>
      </c>
      <c r="BH182" s="52">
        <v>3.71</v>
      </c>
      <c r="BI182" s="52">
        <v>3.6</v>
      </c>
      <c r="BJ182" s="52">
        <v>3.71</v>
      </c>
      <c r="BK182" s="52">
        <v>3.5</v>
      </c>
      <c r="BL182" s="52" cm="1">
        <f t="array" aca="1" ref="BL182" ca="1">_FV(EC182,"Preço")</f>
        <v>3.5</v>
      </c>
      <c r="BM182" s="69" t="s">
        <v>178</v>
      </c>
      <c r="BN182" s="36" cm="1">
        <f t="array" aca="1" ref="BN182" ca="1">_FV(EC182,"Média de volume",TRUE)</f>
        <v>16170</v>
      </c>
      <c r="BO182" s="36">
        <v>26400</v>
      </c>
      <c r="BP182" s="36" cm="1">
        <f t="array" aca="1" ref="BP182" ca="1">_FV(EC182,"Volume")</f>
        <v>26400</v>
      </c>
      <c r="BQ182" s="24" cm="1">
        <f t="array" aca="1" ref="BQ182" ca="1">_FV(EC182,"Beta")</f>
        <v>1.5377000000000001</v>
      </c>
      <c r="BR182" s="71" cm="1">
        <f t="array" aca="1" ref="BR182" ca="1">_FV(EC182,"Variação (%)",TRUE)</f>
        <v>-2.5070000000000002E-2</v>
      </c>
      <c r="BT182" s="17" cm="1">
        <f t="array" aca="1" ref="BT182" ca="1">_FV(EC182,"Baixo")</f>
        <v>3.5</v>
      </c>
      <c r="BU182" s="17" cm="1">
        <f t="array" aca="1" ref="BU182" ca="1">_FV(EC182,"Alto")</f>
        <v>3.68</v>
      </c>
      <c r="BV182" s="24"/>
      <c r="BW182" s="63">
        <f ca="1">SQRT(22.5*(BL182/VLOOKUP(BM182,Fundamentus!A:U,3,FALSE))*(BL182/VLOOKUP(BM182,Fundamentus!A:U,4,FALSE)))</f>
        <v>9.874423784848366</v>
      </c>
      <c r="BY182" s="62">
        <f t="shared" ca="1" si="168"/>
        <v>0</v>
      </c>
      <c r="BZ182" s="8"/>
      <c r="CA182" s="61">
        <f t="shared" si="169"/>
        <v>2.19</v>
      </c>
      <c r="CB182" s="61">
        <f t="shared" si="170"/>
        <v>4.26</v>
      </c>
      <c r="CC182" s="61">
        <f t="shared" si="171"/>
        <v>3.2319841269841261</v>
      </c>
      <c r="CD182" s="14"/>
      <c r="CE182" s="35">
        <f t="shared" si="154"/>
        <v>3.1925931994296062</v>
      </c>
      <c r="CF182" s="15">
        <f t="shared" si="172"/>
        <v>3.603999999999985</v>
      </c>
      <c r="CG182" s="35">
        <f t="shared" si="155"/>
        <v>4.0154068005703643</v>
      </c>
      <c r="CI182" s="14"/>
      <c r="CJ182" s="17">
        <f t="shared" si="156"/>
        <v>0.4433333333333338</v>
      </c>
      <c r="CK182" s="17">
        <f t="shared" si="157"/>
        <v>1.3166666666666669</v>
      </c>
      <c r="CL182" s="17">
        <f t="shared" si="158"/>
        <v>2.5133333333333336</v>
      </c>
      <c r="CM182" s="38">
        <f t="shared" si="173"/>
        <v>3.3866666666666667</v>
      </c>
      <c r="CN182" s="17">
        <f t="shared" si="159"/>
        <v>4.5833333333333339</v>
      </c>
      <c r="CO182" s="17">
        <f t="shared" si="160"/>
        <v>5.456666666666667</v>
      </c>
      <c r="CP182" s="17">
        <f t="shared" si="161"/>
        <v>6.6533333333333333</v>
      </c>
      <c r="CQ182" s="2" cm="1">
        <f t="array" aca="1" ref="CQ182" ca="1">MAX(_xlfn._xlws.FILTER(CJ182:CP182,CJ182:CP182&lt;BL182))</f>
        <v>3.3866666666666667</v>
      </c>
      <c r="CR182" s="2" cm="1">
        <f t="array" aca="1" ref="CR182" ca="1">MIN(_xlfn._xlws.FILTER($CJ182:$CP182,$CJ182:$CP182&gt;BL182))</f>
        <v>4.5833333333333339</v>
      </c>
      <c r="CS182" s="16">
        <f t="shared" ca="1" si="192"/>
        <v>0.35334645669291365</v>
      </c>
      <c r="CT182" s="20">
        <f t="shared" ca="1" si="193"/>
        <v>-0.17667322834645682</v>
      </c>
      <c r="CU182" s="20">
        <f t="shared" ca="1" si="194"/>
        <v>-0.11778215223097122</v>
      </c>
      <c r="CV182" s="20">
        <f t="shared" ca="1" si="195"/>
        <v>-7.0669291338582726E-2</v>
      </c>
      <c r="CW182" s="20">
        <f t="shared" ca="1" si="196"/>
        <v>-3.9260717410323741E-2</v>
      </c>
      <c r="CX182" s="20">
        <f t="shared" ca="1" si="197"/>
        <v>-2.078508568781845E-2</v>
      </c>
      <c r="CY182" s="20">
        <f t="shared" ca="1" si="198"/>
        <v>-1.0707468384633746E-2</v>
      </c>
      <c r="CZ182" s="20">
        <f t="shared" ca="1" si="199"/>
        <v>-5.4360993337371332E-3</v>
      </c>
      <c r="DA182" s="21">
        <f t="shared" ca="1" si="200"/>
        <v>5.4360993337371332E-3</v>
      </c>
      <c r="DB182" s="21">
        <f t="shared" ca="1" si="201"/>
        <v>1.0707468384633746E-2</v>
      </c>
      <c r="DC182" s="21">
        <f t="shared" ca="1" si="202"/>
        <v>2.078508568781845E-2</v>
      </c>
      <c r="DD182" s="21">
        <f t="shared" ca="1" si="203"/>
        <v>3.9260717410323741E-2</v>
      </c>
      <c r="DE182" s="21">
        <f t="shared" ca="1" si="204"/>
        <v>7.0669291338582726E-2</v>
      </c>
      <c r="DF182" s="21">
        <f t="shared" ca="1" si="205"/>
        <v>0.11778215223097122</v>
      </c>
      <c r="DG182" s="21">
        <f t="shared" ca="1" si="206"/>
        <v>0.17667322834645682</v>
      </c>
      <c r="DI182" s="16" cm="1">
        <f t="array" aca="1" ref="DI182" ca="1">MAX(_xlfn._xlws.FILTER(CT182:DG182,CT182:DG182&lt;BR182))</f>
        <v>-3.9260717410323741E-2</v>
      </c>
      <c r="DJ182" s="16" cm="1">
        <f t="array" aca="1" ref="DJ182" ca="1">MIN(_xlfn._xlws.FILTER(CT182:DG182,CT182:DG182&gt;BR182))</f>
        <v>-2.078508568781845E-2</v>
      </c>
      <c r="DK182" s="2" cm="1">
        <f t="array" aca="1" ref="DK182" ca="1">_FV(EC182,"Fechamento anterior",TRUE)</f>
        <v>3.59</v>
      </c>
      <c r="DL182" s="28">
        <f t="shared" ca="1" si="162"/>
        <v>0.76809712059962709</v>
      </c>
      <c r="DM182" s="15">
        <f t="shared" ca="1" si="207"/>
        <v>3.4490540244969377</v>
      </c>
      <c r="DN182" s="15">
        <f t="shared" ca="1" si="208"/>
        <v>3.5153815423807315</v>
      </c>
      <c r="DO182" s="9"/>
      <c r="DP182" s="9"/>
      <c r="DQ182" s="9"/>
      <c r="DR182" s="89">
        <v>2.745428973277074E-2</v>
      </c>
      <c r="DS182" s="89">
        <v>3.2244853971333108E-2</v>
      </c>
      <c r="DT182" s="89">
        <v>1.0077617303184704E-2</v>
      </c>
      <c r="DU182" s="89">
        <v>1.8475631722505291E-2</v>
      </c>
      <c r="DV182" s="89">
        <f t="shared" ca="1" si="163"/>
        <v>1.8475631722505291E-2</v>
      </c>
      <c r="DW182" s="72">
        <f t="shared" ca="1" si="164"/>
        <v>-0.25279115429253546</v>
      </c>
      <c r="DX182" s="37"/>
      <c r="DY182" s="35">
        <f t="shared" si="174"/>
        <v>0.20570340028518946</v>
      </c>
      <c r="DZ182" s="56"/>
      <c r="EA182" s="56"/>
      <c r="EC182" s="2" t="e" vm="184">
        <v>#VALUE!</v>
      </c>
      <c r="EE182" s="10" cm="1">
        <f t="array" aca="1" ref="EE182" ca="1">_FV(EC182,"Ações em circulação",TRUE)</f>
        <v>63461460</v>
      </c>
      <c r="EF182" s="18">
        <f>VLOOKUP(BM182,Fundamentus!A:U,5,FALSE)</f>
        <v>0.29099999999999998</v>
      </c>
      <c r="EG182" s="2">
        <f t="shared" ca="1" si="165"/>
        <v>763282164.94845366</v>
      </c>
      <c r="EH182" s="17">
        <v>29081050.484536085</v>
      </c>
      <c r="EI182" s="17">
        <f t="shared" ca="1" si="166"/>
        <v>29081050.484536085</v>
      </c>
      <c r="EK182" s="16">
        <f t="shared" ca="1" si="153"/>
        <v>0</v>
      </c>
      <c r="EL182" s="32" t="str">
        <f>IF(VLOOKUP(BM182,Fundamentus!A:U,3,FALSE)&lt;15,"Bom",IF(VLOOKUP(BM182,Fundamentus!A:U,3,FALSE)&gt;15,"Ruim","n/a"))</f>
        <v>Bom</v>
      </c>
      <c r="EM182" s="28" t="str">
        <f>IF(VLOOKUP(BM182,Fundamentus!A:U,4,FALSE)&lt;1,"Baixo",IF(VLOOKUP(BM182,Fundamentus!A:U,4,FALSE)&lt;1.5,"Moderado",IF(VLOOKUP(BM182,Fundamentus!A:U,4,FALSE)&gt;1.5,"Alto","n/a")))</f>
        <v>Baixo</v>
      </c>
      <c r="EN182" s="17" t="str">
        <f>IF(VLOOKUP(BM182,Fundamentus!A:U,8,FALSE)&lt;0,"Risco elevado",IF(VLOOKUP(BM182,Fundamentus!A:U,8,FALSE)&lt;1,"Saudável",IF(VLOOKUP(BM182,Fundamentus!A:U,8,FALSE)&lt;3,"Estável",IF(VLOOKUP(BM182,Fundamentus!A:U,8,FALSE)&gt;3,"Alerta","n/a"))))</f>
        <v>Saudável</v>
      </c>
      <c r="EO182" s="28" t="str">
        <f t="shared" si="167"/>
        <v>Ruim</v>
      </c>
      <c r="EP182" s="17" t="str">
        <f>IF(VLOOKUP(BM182,Fundamentus!A:U,12,FALSE)&lt;2,"Subvalorizada",IF(VLOOKUP(BM182,Fundamentus!A:U,12,FALSE)&lt;6,"Muita barata",IF(VLOOKUP(BM182,Fundamentus!A:U,12,FALSE)&lt;6,"Barata",IF(VLOOKUP(BM182,Fundamentus!A:U,12,FALSE)&lt;8,"Atrativa",IF(VLOOKUP(BM182,Fundamentus!A:U,12,FALSE)&gt;8,"Supervalorizada","n/a")))))</f>
        <v>Subvalorizada</v>
      </c>
      <c r="ER182" s="17" t="str">
        <f>IF(VLOOKUP(BM182,Fundamentus!A:U,17,FALSE)&lt;0.1,"Fraco retorno",IF(VLOOKUP(BM182,Fundamentus!A:U,17,FALSE)&gt;0.1,"Bom retorno","n/a"))</f>
        <v>Fraco retorno</v>
      </c>
      <c r="ES182" s="17" t="str">
        <f>IF(VLOOKUP(BM182,Fundamentus!A:U,16,FALSE)&lt;0.1,"Ineficiente",IF(VLOOKUP(BM182,Fundamentus!A:U,16,FALSE)&gt;0.1,"Eficiente","n/a"))</f>
        <v>Eficiente</v>
      </c>
      <c r="ET182" s="33" t="str">
        <f>IF(VLOOKUP(BM182,Fundamentus!A:U,16,FALSE)&lt;0.1,"Oper. Ineficiente",IF(VLOOKUP(BM182,Fundamentus!A:U,16,FALSE)&gt;0.1,"Oper.Eficiente","n/a"))</f>
        <v>Oper.Eficiente</v>
      </c>
      <c r="EU182" s="34">
        <f>VLOOKUP(BM182,Fundamentus!A:U,14,FALSE)</f>
        <v>3.8100000000000002E-2</v>
      </c>
      <c r="EV182" s="17" t="str">
        <f>IF(VLOOKUP(BM182,Fundamentus!A:U,21,FALSE)&lt;0,"Negativo",IF(VLOOKUP(BM182,Fundamentus!A:U,21,FALSE)&lt;0.05,"Fraco",IF(VLOOKUP(BM182,Fundamentus!A:U,21,FALSE)&lt;0.1,"Bom",IF(VLOOKUP(BM182,Fundamentus!A:U,21,FALSE)&gt;0.1,"Muito bom","n/a"))))</f>
        <v>Negativo</v>
      </c>
      <c r="EX182" s="29" t="str">
        <f>IF(VLOOKUP(BM182,Fundamentus!A:U,15,FALSE)&gt;1,"Bom",IF(VLOOKUP(BM182,Fundamentus!A:U,15,FALSE)&lt;1,"Ruim","n/a"))</f>
        <v>Bom</v>
      </c>
      <c r="EY182" s="17" t="str">
        <f>IF(VLOOKUP(BM182,Fundamentus!A:U,20,FALSE)&lt;0.5,"Baixa",IF(VLOOKUP(BM182,Fundamentus!A:U,20,FALSE)&lt;1,"Moderada",IF(VLOOKUP(BM182,Fundamentus!A:U,20,FALSE)&lt;2,"Alerta",IF(VLOOKUP(BM182,Fundamentus!A:U,20,FALSE)&gt;2,"Alta","n/a"))))</f>
        <v>Baixa</v>
      </c>
      <c r="EZ182" s="10"/>
    </row>
    <row r="183" spans="1:156" s="2" customFormat="1" ht="11.25" x14ac:dyDescent="0.2">
      <c r="A183" s="4">
        <v>6.24</v>
      </c>
      <c r="B183" s="4">
        <v>6.24</v>
      </c>
      <c r="C183" s="4">
        <v>6.87</v>
      </c>
      <c r="D183" s="4">
        <v>6.55</v>
      </c>
      <c r="E183" s="4">
        <v>6.19</v>
      </c>
      <c r="F183" s="4">
        <v>6.1</v>
      </c>
      <c r="G183" s="4">
        <v>6.16</v>
      </c>
      <c r="H183" s="4">
        <v>6.45</v>
      </c>
      <c r="I183" s="4">
        <v>6.63</v>
      </c>
      <c r="J183" s="4">
        <v>6.86</v>
      </c>
      <c r="K183" s="4">
        <v>6.82</v>
      </c>
      <c r="L183" s="4">
        <v>6.55</v>
      </c>
      <c r="M183" s="4">
        <v>6.32</v>
      </c>
      <c r="N183" s="4">
        <v>6.47</v>
      </c>
      <c r="O183" s="4">
        <v>7.51</v>
      </c>
      <c r="P183" s="4">
        <v>7.42</v>
      </c>
      <c r="Q183" s="4">
        <v>7.95</v>
      </c>
      <c r="R183" s="4">
        <v>7.49</v>
      </c>
      <c r="S183" s="4">
        <v>7</v>
      </c>
      <c r="T183" s="4">
        <v>6.91</v>
      </c>
      <c r="U183" s="4">
        <v>6.53</v>
      </c>
      <c r="V183" s="4">
        <v>6.49</v>
      </c>
      <c r="W183" s="4">
        <v>6.38</v>
      </c>
      <c r="X183" s="4">
        <v>5.54</v>
      </c>
      <c r="Y183" s="4">
        <v>5.49</v>
      </c>
      <c r="Z183" s="4">
        <v>5.49</v>
      </c>
      <c r="AA183" s="4">
        <v>5.76</v>
      </c>
      <c r="AB183" s="4">
        <v>5.38</v>
      </c>
      <c r="AC183" s="4">
        <v>5.71</v>
      </c>
      <c r="AD183" s="4">
        <v>5.64</v>
      </c>
      <c r="AE183" s="4">
        <v>5.83</v>
      </c>
      <c r="AF183" s="4">
        <v>5.91</v>
      </c>
      <c r="AG183" s="4">
        <v>5.73</v>
      </c>
      <c r="AH183" s="4">
        <v>5.44</v>
      </c>
      <c r="AI183" s="4">
        <v>5.18</v>
      </c>
      <c r="AJ183" s="4">
        <v>4.76</v>
      </c>
      <c r="AK183" s="4">
        <v>5.08</v>
      </c>
      <c r="AL183" s="4">
        <v>5.0199999999999996</v>
      </c>
      <c r="AM183" s="4">
        <v>4.4400000000000004</v>
      </c>
      <c r="AN183" s="4">
        <v>4.84</v>
      </c>
      <c r="AO183" s="4">
        <v>4.4400000000000004</v>
      </c>
      <c r="AP183" s="4">
        <v>4.5199999999999996</v>
      </c>
      <c r="AQ183" s="4">
        <v>4.55</v>
      </c>
      <c r="AR183" s="4">
        <v>4.42</v>
      </c>
      <c r="AS183" s="4">
        <v>4.79</v>
      </c>
      <c r="AT183" s="4">
        <v>5.37</v>
      </c>
      <c r="AU183" s="4">
        <v>5.9749999999999996</v>
      </c>
      <c r="AV183" s="4">
        <v>6.21</v>
      </c>
      <c r="AW183" s="4">
        <v>6.47</v>
      </c>
      <c r="AX183" s="4">
        <v>6.97</v>
      </c>
      <c r="AY183" s="12">
        <v>7.41</v>
      </c>
      <c r="AZ183" s="12">
        <v>7.83</v>
      </c>
      <c r="BA183" s="12">
        <v>5.91</v>
      </c>
      <c r="BB183" s="15">
        <v>5.16</v>
      </c>
      <c r="BC183" s="52">
        <v>5.14</v>
      </c>
      <c r="BD183" s="52">
        <v>5.17</v>
      </c>
      <c r="BE183" s="52">
        <v>5.04</v>
      </c>
      <c r="BF183" s="52">
        <v>4.9000000000000004</v>
      </c>
      <c r="BG183" s="67">
        <v>4.8600000000000003</v>
      </c>
      <c r="BH183" s="52">
        <v>4.87</v>
      </c>
      <c r="BI183" s="52">
        <v>4.82</v>
      </c>
      <c r="BJ183" s="52">
        <v>5.17</v>
      </c>
      <c r="BK183" s="52">
        <v>5.37</v>
      </c>
      <c r="BL183" s="52" cm="1">
        <f t="array" aca="1" ref="BL183" ca="1">_FV(EC183,"Preço")</f>
        <v>5.37</v>
      </c>
      <c r="BM183" s="69" t="s">
        <v>179</v>
      </c>
      <c r="BN183" s="36" cm="1">
        <f t="array" aca="1" ref="BN183" ca="1">_FV(EC183,"Média de volume",TRUE)</f>
        <v>16473130</v>
      </c>
      <c r="BO183" s="36">
        <v>10237200</v>
      </c>
      <c r="BP183" s="36" cm="1">
        <f t="array" aca="1" ref="BP183" ca="1">_FV(EC183,"Volume")</f>
        <v>10237200</v>
      </c>
      <c r="BQ183" s="24" cm="1">
        <f t="array" aca="1" ref="BQ183" ca="1">_FV(EC183,"Beta")</f>
        <v>0.77910000000000001</v>
      </c>
      <c r="BR183" s="71" cm="1">
        <f t="array" aca="1" ref="BR183" ca="1">_FV(EC183,"Variação (%)",TRUE)</f>
        <v>-7.3939999999999995E-3</v>
      </c>
      <c r="BT183" s="17" cm="1">
        <f t="array" aca="1" ref="BT183" ca="1">_FV(EC183,"Baixo")</f>
        <v>5.3</v>
      </c>
      <c r="BU183" s="17" cm="1">
        <f t="array" aca="1" ref="BU183" ca="1">_FV(EC183,"Alto")</f>
        <v>5.46</v>
      </c>
      <c r="BV183" s="24"/>
      <c r="BW183" s="63">
        <f ca="1">SQRT(22.5*(BL183/VLOOKUP(BM183,Fundamentus!A:U,3,FALSE))*(BL183/VLOOKUP(BM183,Fundamentus!A:U,4,FALSE)))</f>
        <v>7.622019662312236</v>
      </c>
      <c r="BY183" s="62">
        <f t="shared" ca="1" si="168"/>
        <v>0</v>
      </c>
      <c r="BZ183" s="8"/>
      <c r="CA183" s="61">
        <f t="shared" si="169"/>
        <v>4.42</v>
      </c>
      <c r="CB183" s="61">
        <f t="shared" si="170"/>
        <v>7.95</v>
      </c>
      <c r="CC183" s="61">
        <f t="shared" si="171"/>
        <v>5.8846825396825437</v>
      </c>
      <c r="CD183" s="14"/>
      <c r="CE183" s="35">
        <f t="shared" si="154"/>
        <v>4.7461160782819745</v>
      </c>
      <c r="CF183" s="15">
        <f t="shared" si="172"/>
        <v>5.1499999999998636</v>
      </c>
      <c r="CG183" s="35">
        <f t="shared" si="155"/>
        <v>5.5538839217177527</v>
      </c>
      <c r="CI183" s="14"/>
      <c r="CJ183" s="17">
        <f t="shared" si="156"/>
        <v>0.21333333333333293</v>
      </c>
      <c r="CK183" s="17">
        <f t="shared" si="157"/>
        <v>2.3166666666666664</v>
      </c>
      <c r="CL183" s="17">
        <f t="shared" si="158"/>
        <v>3.7433333333333332</v>
      </c>
      <c r="CM183" s="38">
        <f t="shared" si="173"/>
        <v>5.8466666666666667</v>
      </c>
      <c r="CN183" s="17">
        <f t="shared" si="159"/>
        <v>7.2733333333333334</v>
      </c>
      <c r="CO183" s="17">
        <f t="shared" si="160"/>
        <v>9.3766666666666669</v>
      </c>
      <c r="CP183" s="17">
        <f t="shared" si="161"/>
        <v>10.803333333333335</v>
      </c>
      <c r="CQ183" s="2" cm="1">
        <f t="array" aca="1" ref="CQ183" ca="1">MAX(_xlfn._xlws.FILTER(CJ183:CP183,CJ183:CP183&lt;BL183))</f>
        <v>3.7433333333333332</v>
      </c>
      <c r="CR183" s="2" cm="1">
        <f t="array" aca="1" ref="CR183" ca="1">MIN(_xlfn._xlws.FILTER($CJ183:$CP183,$CJ183:$CP183&gt;BL183))</f>
        <v>5.8466666666666667</v>
      </c>
      <c r="CS183" s="16">
        <f t="shared" ca="1" si="192"/>
        <v>0.56188780053428333</v>
      </c>
      <c r="CT183" s="20">
        <f t="shared" ca="1" si="193"/>
        <v>-0.28094390026714167</v>
      </c>
      <c r="CU183" s="20">
        <f t="shared" ca="1" si="194"/>
        <v>-0.18729593351142779</v>
      </c>
      <c r="CV183" s="20">
        <f t="shared" ca="1" si="195"/>
        <v>-0.11237756010685666</v>
      </c>
      <c r="CW183" s="20">
        <f t="shared" ca="1" si="196"/>
        <v>-6.2431977837142591E-2</v>
      </c>
      <c r="CX183" s="20">
        <f t="shared" ca="1" si="197"/>
        <v>-3.3052223560840199E-2</v>
      </c>
      <c r="CY183" s="20">
        <f t="shared" ca="1" si="198"/>
        <v>-1.7026903046493434E-2</v>
      </c>
      <c r="CZ183" s="20">
        <f t="shared" ca="1" si="199"/>
        <v>-8.6444277005274361E-3</v>
      </c>
      <c r="DA183" s="21">
        <f t="shared" ca="1" si="200"/>
        <v>8.6444277005274361E-3</v>
      </c>
      <c r="DB183" s="21">
        <f t="shared" ca="1" si="201"/>
        <v>1.7026903046493434E-2</v>
      </c>
      <c r="DC183" s="21">
        <f t="shared" ca="1" si="202"/>
        <v>3.3052223560840199E-2</v>
      </c>
      <c r="DD183" s="21">
        <f t="shared" ca="1" si="203"/>
        <v>6.2431977837142591E-2</v>
      </c>
      <c r="DE183" s="21">
        <f t="shared" ca="1" si="204"/>
        <v>0.11237756010685666</v>
      </c>
      <c r="DF183" s="21">
        <f t="shared" ca="1" si="205"/>
        <v>0.18729593351142779</v>
      </c>
      <c r="DG183" s="21">
        <f t="shared" ca="1" si="206"/>
        <v>0.28094390026714167</v>
      </c>
      <c r="DI183" s="16" cm="1">
        <f t="array" aca="1" ref="DI183" ca="1">MAX(_xlfn._xlws.FILTER(CT183:DG183,CT183:DG183&lt;BR183))</f>
        <v>-8.6444277005274361E-3</v>
      </c>
      <c r="DJ183" s="16" cm="1">
        <f t="array" aca="1" ref="DJ183" ca="1">MIN(_xlfn._xlws.FILTER(CT183:DG183,CT183:DG183&gt;BR183))</f>
        <v>8.6444277005274361E-3</v>
      </c>
      <c r="DK183" s="2" cm="1">
        <f t="array" aca="1" ref="DK183" ca="1">_FV(EC183,"Fechamento anterior",TRUE)</f>
        <v>5.41</v>
      </c>
      <c r="DL183" s="28">
        <f t="shared" ca="1" si="162"/>
        <v>7.2342114590868756E-2</v>
      </c>
      <c r="DM183" s="15">
        <f t="shared" ca="1" si="207"/>
        <v>5.3632336461401469</v>
      </c>
      <c r="DN183" s="15">
        <f t="shared" ca="1" si="208"/>
        <v>5.4567663538598534</v>
      </c>
      <c r="DO183" s="9"/>
      <c r="DP183" s="9"/>
      <c r="DQ183" s="9"/>
      <c r="DR183" s="89">
        <v>1.2059145043438243E-2</v>
      </c>
      <c r="DS183" s="89">
        <v>3.262429696980898E-2</v>
      </c>
      <c r="DT183" s="89">
        <v>8.3824753459659975E-3</v>
      </c>
      <c r="DU183" s="89">
        <v>1.7288855401054872E-2</v>
      </c>
      <c r="DV183" s="89">
        <f t="shared" ca="1" si="163"/>
        <v>1.7288855401054872E-2</v>
      </c>
      <c r="DW183" s="72">
        <f t="shared" ca="1" si="164"/>
        <v>0.54471096315095557</v>
      </c>
      <c r="DX183" s="37"/>
      <c r="DY183" s="35">
        <f t="shared" si="174"/>
        <v>0.20194196085894461</v>
      </c>
      <c r="DZ183" s="56"/>
      <c r="EA183" s="56"/>
      <c r="EC183" s="2" t="e" vm="185">
        <v>#VALUE!</v>
      </c>
      <c r="EE183" s="10" cm="1">
        <f t="array" aca="1" ref="EE183" ca="1">_FV(EC183,"Ações em circulação",TRUE)</f>
        <v>994130600</v>
      </c>
      <c r="EF183" s="18">
        <f>VLOOKUP(BM183,Fundamentus!A:U,5,FALSE)</f>
        <v>7.8E-2</v>
      </c>
      <c r="EG183" s="2">
        <f t="shared" ca="1" si="165"/>
        <v>68442068230.769234</v>
      </c>
      <c r="EH183" s="17">
        <v>-2142236735.6230772</v>
      </c>
      <c r="EI183" s="17">
        <f t="shared" ca="1" si="166"/>
        <v>-2142236735.6230772</v>
      </c>
      <c r="EK183" s="16">
        <f t="shared" ca="1" si="153"/>
        <v>0</v>
      </c>
      <c r="EL183" s="32" t="str">
        <f>IF(VLOOKUP(BM183,Fundamentus!A:U,3,FALSE)&lt;15,"Bom",IF(VLOOKUP(BM183,Fundamentus!A:U,3,FALSE)&gt;15,"Ruim","n/a"))</f>
        <v>Bom</v>
      </c>
      <c r="EM183" s="28" t="str">
        <f>IF(VLOOKUP(BM183,Fundamentus!A:U,4,FALSE)&lt;1,"Baixo",IF(VLOOKUP(BM183,Fundamentus!A:U,4,FALSE)&lt;1.5,"Moderado",IF(VLOOKUP(BM183,Fundamentus!A:U,4,FALSE)&gt;1.5,"Alto","n/a")))</f>
        <v>Baixo</v>
      </c>
      <c r="EN183" s="17" t="str">
        <f>IF(VLOOKUP(BM183,Fundamentus!A:U,8,FALSE)&lt;0,"Risco elevado",IF(VLOOKUP(BM183,Fundamentus!A:U,8,FALSE)&lt;1,"Saudável",IF(VLOOKUP(BM183,Fundamentus!A:U,8,FALSE)&lt;3,"Estável",IF(VLOOKUP(BM183,Fundamentus!A:U,8,FALSE)&gt;3,"Alerta","n/a"))))</f>
        <v>Saudável</v>
      </c>
      <c r="EO183" s="28" t="str">
        <f t="shared" si="167"/>
        <v>Ruim</v>
      </c>
      <c r="EP183" s="17" t="str">
        <f>IF(VLOOKUP(BM183,Fundamentus!A:U,12,FALSE)&lt;2,"Subvalorizada",IF(VLOOKUP(BM183,Fundamentus!A:U,12,FALSE)&lt;6,"Muita barata",IF(VLOOKUP(BM183,Fundamentus!A:U,12,FALSE)&lt;6,"Barata",IF(VLOOKUP(BM183,Fundamentus!A:U,12,FALSE)&lt;8,"Atrativa",IF(VLOOKUP(BM183,Fundamentus!A:U,12,FALSE)&gt;8,"Supervalorizada","n/a")))))</f>
        <v>Muita barata</v>
      </c>
      <c r="ER183" s="17" t="str">
        <f>IF(VLOOKUP(BM183,Fundamentus!A:U,17,FALSE)&lt;0.1,"Fraco retorno",IF(VLOOKUP(BM183,Fundamentus!A:U,17,FALSE)&gt;0.1,"Bom retorno","n/a"))</f>
        <v>Bom retorno</v>
      </c>
      <c r="ES183" s="17" t="str">
        <f>IF(VLOOKUP(BM183,Fundamentus!A:U,16,FALSE)&lt;0.1,"Ineficiente",IF(VLOOKUP(BM183,Fundamentus!A:U,16,FALSE)&gt;0.1,"Eficiente","n/a"))</f>
        <v>Eficiente</v>
      </c>
      <c r="ET183" s="33" t="str">
        <f>IF(VLOOKUP(BM183,Fundamentus!A:U,16,FALSE)&lt;0.1,"Oper. Ineficiente",IF(VLOOKUP(BM183,Fundamentus!A:U,16,FALSE)&gt;0.1,"Oper.Eficiente","n/a"))</f>
        <v>Oper.Eficiente</v>
      </c>
      <c r="EU183" s="34">
        <f>VLOOKUP(BM183,Fundamentus!A:U,14,FALSE)</f>
        <v>-3.1300000000000001E-2</v>
      </c>
      <c r="EV183" s="17" t="str">
        <f>IF(VLOOKUP(BM183,Fundamentus!A:U,21,FALSE)&lt;0,"Negativo",IF(VLOOKUP(BM183,Fundamentus!A:U,21,FALSE)&lt;0.05,"Fraco",IF(VLOOKUP(BM183,Fundamentus!A:U,21,FALSE)&lt;0.1,"Bom",IF(VLOOKUP(BM183,Fundamentus!A:U,21,FALSE)&gt;0.1,"Muito bom","n/a"))))</f>
        <v>Muito bom</v>
      </c>
      <c r="EX183" s="29" t="str">
        <f>IF(VLOOKUP(BM183,Fundamentus!A:U,15,FALSE)&gt;1,"Bom",IF(VLOOKUP(BM183,Fundamentus!A:U,15,FALSE)&lt;1,"Ruim","n/a"))</f>
        <v>Bom</v>
      </c>
      <c r="EY183" s="17" t="str">
        <f>IF(VLOOKUP(BM183,Fundamentus!A:U,20,FALSE)&lt;0.5,"Baixa",IF(VLOOKUP(BM183,Fundamentus!A:U,20,FALSE)&lt;1,"Moderada",IF(VLOOKUP(BM183,Fundamentus!A:U,20,FALSE)&lt;2,"Alerta",IF(VLOOKUP(BM183,Fundamentus!A:U,20,FALSE)&gt;2,"Alta","n/a"))))</f>
        <v>Baixa</v>
      </c>
      <c r="EZ183" s="10"/>
    </row>
    <row r="184" spans="1:156" s="2" customFormat="1" ht="11.25" x14ac:dyDescent="0.2">
      <c r="A184" s="4">
        <v>9.7799999999999994</v>
      </c>
      <c r="B184" s="4">
        <v>9.9600000000000009</v>
      </c>
      <c r="C184" s="4">
        <v>9.93</v>
      </c>
      <c r="D184" s="4">
        <v>9.74</v>
      </c>
      <c r="E184" s="4">
        <v>9.56</v>
      </c>
      <c r="F184" s="4">
        <v>9.5299999999999994</v>
      </c>
      <c r="G184" s="4">
        <v>9.15</v>
      </c>
      <c r="H184" s="4">
        <v>8.85</v>
      </c>
      <c r="I184" s="4">
        <v>9.1199999999999992</v>
      </c>
      <c r="J184" s="4">
        <v>9.34</v>
      </c>
      <c r="K184" s="4">
        <v>9.31</v>
      </c>
      <c r="L184" s="4">
        <v>8.8699999999999992</v>
      </c>
      <c r="M184" s="4">
        <v>8.66</v>
      </c>
      <c r="N184" s="4">
        <v>8.58</v>
      </c>
      <c r="O184" s="4">
        <v>8.35</v>
      </c>
      <c r="P184" s="4">
        <v>8.06</v>
      </c>
      <c r="Q184" s="4">
        <v>8.27</v>
      </c>
      <c r="R184" s="4">
        <v>7.7</v>
      </c>
      <c r="S184" s="4">
        <v>7.42</v>
      </c>
      <c r="T184" s="4">
        <v>7.4</v>
      </c>
      <c r="U184" s="4">
        <v>7.05</v>
      </c>
      <c r="V184" s="4">
        <v>7.11</v>
      </c>
      <c r="W184" s="4">
        <v>7.05</v>
      </c>
      <c r="X184" s="4">
        <v>6.89</v>
      </c>
      <c r="Y184" s="4">
        <v>7</v>
      </c>
      <c r="Z184" s="4">
        <v>7.13</v>
      </c>
      <c r="AA184" s="4">
        <v>7.22</v>
      </c>
      <c r="AB184" s="4">
        <v>6.52</v>
      </c>
      <c r="AC184" s="4">
        <v>6.77</v>
      </c>
      <c r="AD184" s="4">
        <v>6.86</v>
      </c>
      <c r="AE184" s="4">
        <v>6.29</v>
      </c>
      <c r="AF184" s="4">
        <v>6</v>
      </c>
      <c r="AG184" s="4">
        <v>6.18</v>
      </c>
      <c r="AH184" s="4">
        <v>6.18</v>
      </c>
      <c r="AI184" s="4">
        <v>6.32</v>
      </c>
      <c r="AJ184" s="4">
        <v>6.41</v>
      </c>
      <c r="AK184" s="4">
        <v>6.24</v>
      </c>
      <c r="AL184" s="4">
        <v>6.21</v>
      </c>
      <c r="AM184" s="4">
        <v>6.13</v>
      </c>
      <c r="AN184" s="4">
        <v>6.2</v>
      </c>
      <c r="AO184" s="4">
        <v>6.37</v>
      </c>
      <c r="AP184" s="4">
        <v>6.74</v>
      </c>
      <c r="AQ184" s="4">
        <v>6.75</v>
      </c>
      <c r="AR184" s="4">
        <v>6.33</v>
      </c>
      <c r="AS184" s="4">
        <v>6.64</v>
      </c>
      <c r="AT184" s="4">
        <v>6.9</v>
      </c>
      <c r="AU184" s="4">
        <v>6.875</v>
      </c>
      <c r="AV184" s="4">
        <v>7.03</v>
      </c>
      <c r="AW184" s="4">
        <v>7.23</v>
      </c>
      <c r="AX184" s="4">
        <v>7.28</v>
      </c>
      <c r="AY184" s="12">
        <v>7.23</v>
      </c>
      <c r="AZ184" s="12">
        <v>7.39</v>
      </c>
      <c r="BA184" s="12">
        <v>7.4</v>
      </c>
      <c r="BB184" s="15">
        <v>8.11</v>
      </c>
      <c r="BC184" s="52">
        <v>9.14</v>
      </c>
      <c r="BD184" s="52">
        <v>9.08</v>
      </c>
      <c r="BE184" s="52">
        <v>9.18</v>
      </c>
      <c r="BF184" s="52">
        <v>8.93</v>
      </c>
      <c r="BG184" s="67">
        <v>9.15</v>
      </c>
      <c r="BH184" s="52">
        <v>9.06</v>
      </c>
      <c r="BI184" s="52">
        <v>9.23</v>
      </c>
      <c r="BJ184" s="52">
        <v>8.94</v>
      </c>
      <c r="BK184" s="52">
        <v>8.56</v>
      </c>
      <c r="BL184" s="52" cm="1">
        <f t="array" aca="1" ref="BL184" ca="1">_FV(EC184,"Preço")</f>
        <v>8.56</v>
      </c>
      <c r="BM184" s="69" t="s">
        <v>67</v>
      </c>
      <c r="BN184" s="36" cm="1">
        <f t="array" aca="1" ref="BN184" ca="1">_FV(EC184,"Média de volume",TRUE)</f>
        <v>1082620</v>
      </c>
      <c r="BO184" s="36">
        <v>917600</v>
      </c>
      <c r="BP184" s="36" cm="1">
        <f t="array" aca="1" ref="BP184" ca="1">_FV(EC184,"Volume")</f>
        <v>917600</v>
      </c>
      <c r="BQ184" s="24" cm="1">
        <f t="array" aca="1" ref="BQ184" ca="1">_FV(EC184,"Beta")</f>
        <v>0.9546</v>
      </c>
      <c r="BR184" s="71" cm="1">
        <f t="array" aca="1" ref="BR184" ca="1">_FV(EC184,"Variação (%)",TRUE)</f>
        <v>-5.8069999999999997E-3</v>
      </c>
      <c r="BT184" s="17" cm="1">
        <f t="array" aca="1" ref="BT184" ca="1">_FV(EC184,"Baixo")</f>
        <v>8.4700000000000006</v>
      </c>
      <c r="BU184" s="17" cm="1">
        <f t="array" aca="1" ref="BU184" ca="1">_FV(EC184,"Alto")</f>
        <v>8.65</v>
      </c>
      <c r="BV184" s="24"/>
      <c r="BW184" s="63">
        <f ca="1">SQRT(22.5*(BL184/VLOOKUP(BM184,Fundamentus!A:U,3,FALSE))*(BL184/VLOOKUP(BM184,Fundamentus!A:U,4,FALSE)))</f>
        <v>5.787636914682051</v>
      </c>
      <c r="BY184" s="62">
        <f t="shared" ca="1" si="168"/>
        <v>0</v>
      </c>
      <c r="BZ184" s="8"/>
      <c r="CA184" s="61">
        <f t="shared" si="169"/>
        <v>6</v>
      </c>
      <c r="CB184" s="61">
        <f t="shared" si="170"/>
        <v>9.9600000000000009</v>
      </c>
      <c r="CC184" s="61">
        <f t="shared" si="171"/>
        <v>7.7600793650793642</v>
      </c>
      <c r="CD184" s="14"/>
      <c r="CE184" s="35">
        <f t="shared" si="154"/>
        <v>8.4272770934555812</v>
      </c>
      <c r="CF184" s="15">
        <f t="shared" si="172"/>
        <v>8.8580000000001746</v>
      </c>
      <c r="CG184" s="35">
        <f t="shared" si="155"/>
        <v>9.2887229065447681</v>
      </c>
      <c r="CI184" s="14"/>
      <c r="CJ184" s="17">
        <f t="shared" si="156"/>
        <v>2.6799999999999962</v>
      </c>
      <c r="CK184" s="17">
        <f t="shared" si="157"/>
        <v>4.3399999999999981</v>
      </c>
      <c r="CL184" s="17">
        <f t="shared" si="158"/>
        <v>6.639999999999997</v>
      </c>
      <c r="CM184" s="38">
        <f t="shared" si="173"/>
        <v>8.2999999999999989</v>
      </c>
      <c r="CN184" s="17">
        <f t="shared" si="159"/>
        <v>10.599999999999998</v>
      </c>
      <c r="CO184" s="17">
        <f t="shared" si="160"/>
        <v>12.26</v>
      </c>
      <c r="CP184" s="17">
        <f t="shared" si="161"/>
        <v>14.559999999999999</v>
      </c>
      <c r="CQ184" s="2" cm="1">
        <f t="array" aca="1" ref="CQ184" ca="1">MAX(_xlfn._xlws.FILTER(CJ184:CP184,CJ184:CP184&lt;BL184))</f>
        <v>8.2999999999999989</v>
      </c>
      <c r="CR184" s="2" cm="1">
        <f t="array" aca="1" ref="CR184" ca="1">MIN(_xlfn._xlws.FILTER($CJ184:$CP184,$CJ184:$CP184&gt;BL184))</f>
        <v>10.599999999999998</v>
      </c>
      <c r="CS184" s="16">
        <f t="shared" ca="1" si="192"/>
        <v>0.27710843373493965</v>
      </c>
      <c r="CT184" s="20">
        <f t="shared" ca="1" si="193"/>
        <v>-0.13855421686746983</v>
      </c>
      <c r="CU184" s="20">
        <f t="shared" ca="1" si="194"/>
        <v>-9.2369477911646555E-2</v>
      </c>
      <c r="CV184" s="20">
        <f t="shared" ca="1" si="195"/>
        <v>-5.5421686746987928E-2</v>
      </c>
      <c r="CW184" s="20">
        <f t="shared" ca="1" si="196"/>
        <v>-3.0789825970548849E-2</v>
      </c>
      <c r="CX184" s="20">
        <f t="shared" ca="1" si="197"/>
        <v>-1.6300496102055275E-2</v>
      </c>
      <c r="CY184" s="20">
        <f t="shared" ca="1" si="198"/>
        <v>-8.3972252646951403E-3</v>
      </c>
      <c r="CZ184" s="20">
        <f t="shared" ca="1" si="199"/>
        <v>-4.2632066728452251E-3</v>
      </c>
      <c r="DA184" s="21">
        <f t="shared" ca="1" si="200"/>
        <v>4.2632066728452251E-3</v>
      </c>
      <c r="DB184" s="21">
        <f t="shared" ca="1" si="201"/>
        <v>8.3972252646951403E-3</v>
      </c>
      <c r="DC184" s="21">
        <f t="shared" ca="1" si="202"/>
        <v>1.6300496102055275E-2</v>
      </c>
      <c r="DD184" s="21">
        <f t="shared" ca="1" si="203"/>
        <v>3.0789825970548849E-2</v>
      </c>
      <c r="DE184" s="21">
        <f t="shared" ca="1" si="204"/>
        <v>5.5421686746987928E-2</v>
      </c>
      <c r="DF184" s="21">
        <f t="shared" ca="1" si="205"/>
        <v>9.2369477911646555E-2</v>
      </c>
      <c r="DG184" s="21">
        <f t="shared" ca="1" si="206"/>
        <v>0.13855421686746983</v>
      </c>
      <c r="DI184" s="16" cm="1">
        <f t="array" aca="1" ref="DI184" ca="1">MAX(_xlfn._xlws.FILTER(CT184:DG184,CT184:DG184&lt;BR184))</f>
        <v>-8.3972252646951403E-3</v>
      </c>
      <c r="DJ184" s="16" cm="1">
        <f t="array" aca="1" ref="DJ184" ca="1">MIN(_xlfn._xlws.FILTER(CT184:DG184,CT184:DG184&gt;BR184))</f>
        <v>-4.2632066728452251E-3</v>
      </c>
      <c r="DK184" s="2" cm="1">
        <f t="array" aca="1" ref="DK184" ca="1">_FV(EC184,"Fechamento anterior",TRUE)</f>
        <v>8.61</v>
      </c>
      <c r="DL184" s="28">
        <f t="shared" ca="1" si="162"/>
        <v>0.62651492198152625</v>
      </c>
      <c r="DM184" s="15">
        <f t="shared" ca="1" si="207"/>
        <v>8.5376998904709751</v>
      </c>
      <c r="DN184" s="15">
        <f t="shared" ca="1" si="208"/>
        <v>8.5732937905468027</v>
      </c>
      <c r="DO184" s="9"/>
      <c r="DP184" s="9"/>
      <c r="DQ184" s="9"/>
      <c r="DR184" s="89">
        <v>8.5760941375914636E-3</v>
      </c>
      <c r="DS184" s="89">
        <v>8.0756968802509575E-3</v>
      </c>
      <c r="DT184" s="89">
        <v>4.1340185918499152E-3</v>
      </c>
      <c r="DU184" s="89">
        <v>4.1340185918499152E-3</v>
      </c>
      <c r="DV184" s="89">
        <f t="shared" ca="1" si="163"/>
        <v>4.1340185918499152E-3</v>
      </c>
      <c r="DW184" s="72">
        <f t="shared" ca="1" si="164"/>
        <v>-0.69186011580120521</v>
      </c>
      <c r="DX184" s="37"/>
      <c r="DY184" s="35">
        <f t="shared" si="174"/>
        <v>0.21536145327229655</v>
      </c>
      <c r="DZ184" s="56"/>
      <c r="EA184" s="56"/>
      <c r="EC184" s="2" t="e" vm="186">
        <v>#VALUE!</v>
      </c>
      <c r="EE184" s="10" cm="1">
        <f t="array" aca="1" ref="EE184" ca="1">_FV(EC184,"Ações em circulação",TRUE)</f>
        <v>683062200</v>
      </c>
      <c r="EF184" s="18">
        <f>VLOOKUP(BM184,Fundamentus!A:U,5,FALSE)</f>
        <v>1.464</v>
      </c>
      <c r="EG184" s="2">
        <f t="shared" ca="1" si="165"/>
        <v>3993860950.8196721</v>
      </c>
      <c r="EH184" s="17">
        <v>182519445.45245901</v>
      </c>
      <c r="EI184" s="17">
        <f t="shared" ca="1" si="166"/>
        <v>182519445.45245901</v>
      </c>
      <c r="EK184" s="16">
        <f t="shared" ca="1" si="153"/>
        <v>0</v>
      </c>
      <c r="EL184" s="32" t="str">
        <f>IF(VLOOKUP(BM184,Fundamentus!A:U,3,FALSE)&lt;15,"Bom",IF(VLOOKUP(BM184,Fundamentus!A:U,3,FALSE)&gt;15,"Ruim","n/a"))</f>
        <v>Ruim</v>
      </c>
      <c r="EM184" s="28" t="str">
        <f>IF(VLOOKUP(BM184,Fundamentus!A:U,4,FALSE)&lt;1,"Baixo",IF(VLOOKUP(BM184,Fundamentus!A:U,4,FALSE)&lt;1.5,"Moderado",IF(VLOOKUP(BM184,Fundamentus!A:U,4,FALSE)&gt;1.5,"Alto","n/a")))</f>
        <v>Alto</v>
      </c>
      <c r="EN184" s="17" t="str">
        <f>IF(VLOOKUP(BM184,Fundamentus!A:U,8,FALSE)&lt;0,"Risco elevado",IF(VLOOKUP(BM184,Fundamentus!A:U,8,FALSE)&lt;1,"Saudável",IF(VLOOKUP(BM184,Fundamentus!A:U,8,FALSE)&lt;3,"Estável",IF(VLOOKUP(BM184,Fundamentus!A:U,8,FALSE)&gt;3,"Alerta","n/a"))))</f>
        <v>Alerta</v>
      </c>
      <c r="EO184" s="28" t="str">
        <f t="shared" si="167"/>
        <v>Bom</v>
      </c>
      <c r="EP184" s="17" t="str">
        <f>IF(VLOOKUP(BM184,Fundamentus!A:U,12,FALSE)&lt;2,"Subvalorizada",IF(VLOOKUP(BM184,Fundamentus!A:U,12,FALSE)&lt;6,"Muita barata",IF(VLOOKUP(BM184,Fundamentus!A:U,12,FALSE)&lt;6,"Barata",IF(VLOOKUP(BM184,Fundamentus!A:U,12,FALSE)&lt;8,"Atrativa",IF(VLOOKUP(BM184,Fundamentus!A:U,12,FALSE)&gt;8,"Supervalorizada","n/a")))))</f>
        <v>Supervalorizada</v>
      </c>
      <c r="ER184" s="17" t="str">
        <f>IF(VLOOKUP(BM184,Fundamentus!A:U,17,FALSE)&lt;0.1,"Fraco retorno",IF(VLOOKUP(BM184,Fundamentus!A:U,17,FALSE)&gt;0.1,"Bom retorno","n/a"))</f>
        <v>Fraco retorno</v>
      </c>
      <c r="ES184" s="17" t="str">
        <f>IF(VLOOKUP(BM184,Fundamentus!A:U,16,FALSE)&lt;0.1,"Ineficiente",IF(VLOOKUP(BM184,Fundamentus!A:U,16,FALSE)&gt;0.1,"Eficiente","n/a"))</f>
        <v>Ineficiente</v>
      </c>
      <c r="ET184" s="33" t="str">
        <f>IF(VLOOKUP(BM184,Fundamentus!A:U,16,FALSE)&lt;0.1,"Oper. Ineficiente",IF(VLOOKUP(BM184,Fundamentus!A:U,16,FALSE)&gt;0.1,"Oper.Eficiente","n/a"))</f>
        <v>Oper. Ineficiente</v>
      </c>
      <c r="EU184" s="34">
        <f>VLOOKUP(BM184,Fundamentus!A:U,14,FALSE)</f>
        <v>4.5699999999999998E-2</v>
      </c>
      <c r="EV184" s="17" t="str">
        <f>IF(VLOOKUP(BM184,Fundamentus!A:U,21,FALSE)&lt;0,"Negativo",IF(VLOOKUP(BM184,Fundamentus!A:U,21,FALSE)&lt;0.05,"Fraco",IF(VLOOKUP(BM184,Fundamentus!A:U,21,FALSE)&lt;0.1,"Bom",IF(VLOOKUP(BM184,Fundamentus!A:U,21,FALSE)&gt;0.1,"Muito bom","n/a"))))</f>
        <v>Fraco</v>
      </c>
      <c r="EX184" s="29" t="str">
        <f>IF(VLOOKUP(BM184,Fundamentus!A:U,15,FALSE)&gt;1,"Bom",IF(VLOOKUP(BM184,Fundamentus!A:U,15,FALSE)&lt;1,"Ruim","n/a"))</f>
        <v>Bom</v>
      </c>
      <c r="EY184" s="17" t="str">
        <f>IF(VLOOKUP(BM184,Fundamentus!A:U,20,FALSE)&lt;0.5,"Baixa",IF(VLOOKUP(BM184,Fundamentus!A:U,20,FALSE)&lt;1,"Moderada",IF(VLOOKUP(BM184,Fundamentus!A:U,20,FALSE)&lt;2,"Alerta",IF(VLOOKUP(BM184,Fundamentus!A:U,20,FALSE)&gt;2,"Alta","n/a"))))</f>
        <v>Baixa</v>
      </c>
      <c r="EZ184" s="10"/>
    </row>
    <row r="185" spans="1:156" s="5" customFormat="1" ht="11.25" x14ac:dyDescent="0.2">
      <c r="A185" s="4">
        <v>2.09</v>
      </c>
      <c r="B185" s="4">
        <v>1.98</v>
      </c>
      <c r="C185" s="4">
        <v>2.17</v>
      </c>
      <c r="D185" s="4">
        <v>2.16</v>
      </c>
      <c r="E185" s="4">
        <v>2.13</v>
      </c>
      <c r="F185" s="4">
        <v>2.06</v>
      </c>
      <c r="G185" s="4">
        <v>1.99</v>
      </c>
      <c r="H185" s="4">
        <v>1.91</v>
      </c>
      <c r="I185" s="4">
        <v>1.97</v>
      </c>
      <c r="J185" s="4">
        <v>2.1800000000000002</v>
      </c>
      <c r="K185" s="4">
        <v>2.1800000000000002</v>
      </c>
      <c r="L185" s="4">
        <v>1.96</v>
      </c>
      <c r="M185" s="4">
        <v>1.99</v>
      </c>
      <c r="N185" s="4">
        <v>1.95</v>
      </c>
      <c r="O185" s="4">
        <v>2.12</v>
      </c>
      <c r="P185" s="4">
        <v>1.79</v>
      </c>
      <c r="Q185" s="4">
        <v>2</v>
      </c>
      <c r="R185" s="4">
        <v>1.86</v>
      </c>
      <c r="S185" s="4">
        <v>1.84</v>
      </c>
      <c r="T185" s="4">
        <v>1.82</v>
      </c>
      <c r="U185" s="4">
        <v>1.59</v>
      </c>
      <c r="V185" s="4">
        <v>1.64</v>
      </c>
      <c r="W185" s="4">
        <v>1.65</v>
      </c>
      <c r="X185" s="4">
        <v>1.61</v>
      </c>
      <c r="Y185" s="4">
        <v>1.55</v>
      </c>
      <c r="Z185" s="4">
        <v>1.62</v>
      </c>
      <c r="AA185" s="4">
        <v>1.59</v>
      </c>
      <c r="AB185" s="4">
        <v>1.51</v>
      </c>
      <c r="AC185" s="4">
        <v>1.46</v>
      </c>
      <c r="AD185" s="4">
        <v>1.44</v>
      </c>
      <c r="AE185" s="4">
        <v>1.27</v>
      </c>
      <c r="AF185" s="4">
        <v>1.17</v>
      </c>
      <c r="AG185" s="4">
        <v>1.1399999999999999</v>
      </c>
      <c r="AH185" s="4">
        <v>1.1000000000000001</v>
      </c>
      <c r="AI185" s="4">
        <v>1.06</v>
      </c>
      <c r="AJ185" s="4">
        <v>1.05</v>
      </c>
      <c r="AK185" s="4">
        <v>1.1499999999999999</v>
      </c>
      <c r="AL185" s="4">
        <v>1.1399999999999999</v>
      </c>
      <c r="AM185" s="4">
        <v>1.0900000000000001</v>
      </c>
      <c r="AN185" s="4">
        <v>1.24</v>
      </c>
      <c r="AO185" s="4">
        <v>1.1599999999999999</v>
      </c>
      <c r="AP185" s="4">
        <v>1.27</v>
      </c>
      <c r="AQ185" s="4">
        <v>1.24</v>
      </c>
      <c r="AR185" s="4">
        <v>1.1299999999999999</v>
      </c>
      <c r="AS185" s="4">
        <v>1.1599999999999999</v>
      </c>
      <c r="AT185" s="4">
        <v>1.21</v>
      </c>
      <c r="AU185" s="4">
        <v>1.2050000000000001</v>
      </c>
      <c r="AV185" s="4">
        <v>1.26</v>
      </c>
      <c r="AW185" s="4">
        <v>1.22</v>
      </c>
      <c r="AX185" s="4">
        <v>1.18</v>
      </c>
      <c r="AY185" s="12">
        <v>1.23</v>
      </c>
      <c r="AZ185" s="12">
        <v>1.3</v>
      </c>
      <c r="BA185" s="12">
        <v>1.22</v>
      </c>
      <c r="BB185" s="15">
        <v>1.29</v>
      </c>
      <c r="BC185" s="52">
        <v>1.26</v>
      </c>
      <c r="BD185" s="52">
        <v>1</v>
      </c>
      <c r="BE185" s="52">
        <v>1.04</v>
      </c>
      <c r="BF185" s="52">
        <v>1.07</v>
      </c>
      <c r="BG185" s="67">
        <v>1.07</v>
      </c>
      <c r="BH185" s="52">
        <v>1.08</v>
      </c>
      <c r="BI185" s="52">
        <v>1.08</v>
      </c>
      <c r="BJ185" s="52">
        <v>1.07</v>
      </c>
      <c r="BK185" s="52">
        <v>1.04</v>
      </c>
      <c r="BL185" s="52" cm="1">
        <f t="array" aca="1" ref="BL185" ca="1">_FV(EC185,"Preço")</f>
        <v>1.04</v>
      </c>
      <c r="BM185" s="69" t="s">
        <v>181</v>
      </c>
      <c r="BN185" s="36" cm="1">
        <f t="array" aca="1" ref="BN185" ca="1">_FV(EC185,"Média de volume",TRUE)</f>
        <v>820070</v>
      </c>
      <c r="BO185" s="36">
        <v>797000</v>
      </c>
      <c r="BP185" s="36" cm="1">
        <f t="array" aca="1" ref="BP185" ca="1">_FV(EC185,"Volume")</f>
        <v>797000</v>
      </c>
      <c r="BQ185" s="24" cm="1">
        <f t="array" aca="1" ref="BQ185" ca="1">_FV(EC185,"Beta")</f>
        <v>1.8414999999999999</v>
      </c>
      <c r="BR185" s="71" cm="1">
        <f t="array" aca="1" ref="BR185" ca="1">_FV(EC185,"Variação (%)",TRUE)</f>
        <v>0</v>
      </c>
      <c r="BT185" s="17" cm="1">
        <f t="array" aca="1" ref="BT185" ca="1">_FV(EC185,"Baixo")</f>
        <v>1.03</v>
      </c>
      <c r="BU185" s="17" cm="1">
        <f t="array" aca="1" ref="BU185" ca="1">_FV(EC185,"Alto")</f>
        <v>1.06</v>
      </c>
      <c r="BV185" s="24"/>
      <c r="BW185" s="63" t="e">
        <f ca="1">SQRT(22.5*(BL185/VLOOKUP(BM185,Fundamentus!A:U,3,FALSE))*(BL185/VLOOKUP(BM185,Fundamentus!A:U,4,FALSE)))</f>
        <v>#NUM!</v>
      </c>
      <c r="BY185" s="62">
        <f t="shared" ca="1" si="168"/>
        <v>0</v>
      </c>
      <c r="BZ185" s="8"/>
      <c r="CA185" s="61">
        <f t="shared" si="169"/>
        <v>1</v>
      </c>
      <c r="CB185" s="61">
        <f t="shared" si="170"/>
        <v>2.1800000000000002</v>
      </c>
      <c r="CC185" s="61">
        <f t="shared" si="171"/>
        <v>1.4921428571428568</v>
      </c>
      <c r="CD185" s="14"/>
      <c r="CE185" s="35">
        <f t="shared" si="154"/>
        <v>1.0341258075056643</v>
      </c>
      <c r="CF185" s="15">
        <f t="shared" si="172"/>
        <v>1.0609999999999928</v>
      </c>
      <c r="CG185" s="35">
        <f t="shared" si="155"/>
        <v>1.0878741924943214</v>
      </c>
      <c r="CI185" s="14"/>
      <c r="CJ185" s="17">
        <f t="shared" si="156"/>
        <v>-0.52666666666666684</v>
      </c>
      <c r="CK185" s="17">
        <f t="shared" si="157"/>
        <v>0.23666666666666658</v>
      </c>
      <c r="CL185" s="17">
        <f t="shared" si="158"/>
        <v>0.65333333333333332</v>
      </c>
      <c r="CM185" s="38">
        <f t="shared" si="173"/>
        <v>1.4166666666666667</v>
      </c>
      <c r="CN185" s="17">
        <f t="shared" si="159"/>
        <v>1.8333333333333335</v>
      </c>
      <c r="CO185" s="17">
        <f t="shared" si="160"/>
        <v>2.5966666666666667</v>
      </c>
      <c r="CP185" s="17">
        <f t="shared" si="161"/>
        <v>3.0133333333333336</v>
      </c>
      <c r="CQ185" s="2" cm="1">
        <f t="array" aca="1" ref="CQ185" ca="1">MAX(_xlfn._xlws.FILTER(CJ185:CP185,CJ185:CP185&lt;BL185))</f>
        <v>0.65333333333333332</v>
      </c>
      <c r="CR185" s="2" cm="1">
        <f t="array" aca="1" ref="CR185" ca="1">MIN(_xlfn._xlws.FILTER($CJ185:$CP185,$CJ185:$CP185&gt;BL185))</f>
        <v>1.4166666666666667</v>
      </c>
      <c r="CS185" s="16">
        <f t="shared" ca="1" si="192"/>
        <v>1.1683673469387759</v>
      </c>
      <c r="CT185" s="20">
        <f t="shared" ca="1" si="193"/>
        <v>-0.58418367346938793</v>
      </c>
      <c r="CU185" s="20">
        <f t="shared" ca="1" si="194"/>
        <v>-0.38945578231292527</v>
      </c>
      <c r="CV185" s="20">
        <f t="shared" ca="1" si="195"/>
        <v>-0.23367346938775518</v>
      </c>
      <c r="CW185" s="20">
        <f t="shared" ca="1" si="196"/>
        <v>-0.12981859410430843</v>
      </c>
      <c r="CX185" s="20">
        <f t="shared" ca="1" si="197"/>
        <v>-6.8727490996398577E-2</v>
      </c>
      <c r="CY185" s="20">
        <f t="shared" ca="1" si="198"/>
        <v>-3.5405071119356847E-2</v>
      </c>
      <c r="CZ185" s="20">
        <f t="shared" ca="1" si="199"/>
        <v>-1.7974882260596552E-2</v>
      </c>
      <c r="DA185" s="21">
        <f t="shared" ca="1" si="200"/>
        <v>1.7974882260596552E-2</v>
      </c>
      <c r="DB185" s="21">
        <f t="shared" ca="1" si="201"/>
        <v>3.5405071119356847E-2</v>
      </c>
      <c r="DC185" s="21">
        <f t="shared" ca="1" si="202"/>
        <v>6.8727490996398577E-2</v>
      </c>
      <c r="DD185" s="21">
        <f t="shared" ca="1" si="203"/>
        <v>0.12981859410430843</v>
      </c>
      <c r="DE185" s="21">
        <f t="shared" ca="1" si="204"/>
        <v>0.23367346938775518</v>
      </c>
      <c r="DF185" s="21">
        <f t="shared" ca="1" si="205"/>
        <v>0.38945578231292527</v>
      </c>
      <c r="DG185" s="21">
        <f t="shared" ca="1" si="206"/>
        <v>0.58418367346938793</v>
      </c>
      <c r="DI185" s="16" cm="1">
        <f t="array" aca="1" ref="DI185" ca="1">MAX(_xlfn._xlws.FILTER(CT185:DG185,CT185:DG185&lt;BR185))</f>
        <v>-1.7974882260596552E-2</v>
      </c>
      <c r="DJ185" s="16" cm="1">
        <f t="array" aca="1" ref="DJ185" ca="1">MIN(_xlfn._xlws.FILTER(CT185:DG185,CT185:DG185&gt;BR185))</f>
        <v>1.7974882260596552E-2</v>
      </c>
      <c r="DK185" s="2" cm="1">
        <f t="array" aca="1" ref="DK185" ca="1">_FV(EC185,"Fechamento anterior",TRUE)</f>
        <v>1.04</v>
      </c>
      <c r="DL185" s="28">
        <f t="shared" ca="1" si="162"/>
        <v>0.5</v>
      </c>
      <c r="DM185" s="15">
        <f t="shared" ca="1" si="207"/>
        <v>1.0213061224489797</v>
      </c>
      <c r="DN185" s="15">
        <f t="shared" ca="1" si="208"/>
        <v>1.0586938775510204</v>
      </c>
      <c r="DO185" s="9"/>
      <c r="DP185" s="9"/>
      <c r="DQ185" s="9"/>
      <c r="DR185" s="89">
        <v>4.0373499333036925E-2</v>
      </c>
      <c r="DS185" s="89">
        <v>1.7430188858760295E-2</v>
      </c>
      <c r="DT185" s="89">
        <v>3.5949764521193105E-2</v>
      </c>
      <c r="DU185" s="89">
        <v>3.5949764521193105E-2</v>
      </c>
      <c r="DV185" s="89">
        <f t="shared" ca="1" si="163"/>
        <v>3.5949764521193105E-2</v>
      </c>
      <c r="DW185" s="72">
        <f t="shared" ca="1" si="164"/>
        <v>-0.78141882791174422</v>
      </c>
      <c r="DX185" s="37"/>
      <c r="DY185" s="35">
        <f t="shared" si="174"/>
        <v>1.343709624716426E-2</v>
      </c>
      <c r="DZ185" s="56"/>
      <c r="EA185" s="56"/>
      <c r="EC185" s="5" t="e" vm="187">
        <v>#VALUE!</v>
      </c>
      <c r="EE185" s="10" cm="1">
        <f t="array" aca="1" ref="EE185" ca="1">_FV(EC185,"Ações em circulação",TRUE)</f>
        <v>820539200</v>
      </c>
      <c r="EF185" s="18">
        <f>VLOOKUP(BM185,Fundamentus!A:U,5,FALSE)</f>
        <v>0.25700000000000001</v>
      </c>
      <c r="EG185" s="2">
        <f t="shared" ca="1" si="165"/>
        <v>3320469914.3968873</v>
      </c>
      <c r="EH185" s="17">
        <v>-181961751.30894944</v>
      </c>
      <c r="EI185" s="17">
        <f t="shared" ca="1" si="166"/>
        <v>-181961751.30894944</v>
      </c>
      <c r="EJ185" s="2"/>
      <c r="EK185" s="16">
        <f t="shared" ca="1" si="153"/>
        <v>0</v>
      </c>
      <c r="EL185" s="32" t="str">
        <f>IF(VLOOKUP(BM185,Fundamentus!A:U,3,FALSE)&lt;15,"Bom",IF(VLOOKUP(BM185,Fundamentus!A:U,3,FALSE)&gt;15,"Ruim","n/a"))</f>
        <v>Bom</v>
      </c>
      <c r="EM185" s="28" t="str">
        <f>IF(VLOOKUP(BM185,Fundamentus!A:U,4,FALSE)&lt;1,"Baixo",IF(VLOOKUP(BM185,Fundamentus!A:U,4,FALSE)&lt;1.5,"Moderado",IF(VLOOKUP(BM185,Fundamentus!A:U,4,FALSE)&gt;1.5,"Alto","n/a")))</f>
        <v>Baixo</v>
      </c>
      <c r="EN185" s="17" t="str">
        <f>IF(VLOOKUP(BM185,Fundamentus!A:U,8,FALSE)&lt;0,"Risco elevado",IF(VLOOKUP(BM185,Fundamentus!A:U,8,FALSE)&lt;1,"Saudável",IF(VLOOKUP(BM185,Fundamentus!A:U,8,FALSE)&lt;3,"Estável",IF(VLOOKUP(BM185,Fundamentus!A:U,8,FALSE)&gt;3,"Alerta","n/a"))))</f>
        <v>Saudável</v>
      </c>
      <c r="EO185" s="28" t="str">
        <f t="shared" si="167"/>
        <v>Ruim</v>
      </c>
      <c r="EP185" s="17" t="str">
        <f>IF(VLOOKUP(BM185,Fundamentus!A:U,12,FALSE)&lt;2,"Subvalorizada",IF(VLOOKUP(BM185,Fundamentus!A:U,12,FALSE)&lt;6,"Muita barata",IF(VLOOKUP(BM185,Fundamentus!A:U,12,FALSE)&lt;6,"Barata",IF(VLOOKUP(BM185,Fundamentus!A:U,12,FALSE)&lt;8,"Atrativa",IF(VLOOKUP(BM185,Fundamentus!A:U,12,FALSE)&gt;8,"Supervalorizada","n/a")))))</f>
        <v>Subvalorizada</v>
      </c>
      <c r="EQ185" s="2"/>
      <c r="ER185" s="17" t="str">
        <f>IF(VLOOKUP(BM185,Fundamentus!A:U,17,FALSE)&lt;0.1,"Fraco retorno",IF(VLOOKUP(BM185,Fundamentus!A:U,17,FALSE)&gt;0.1,"Bom retorno","n/a"))</f>
        <v>Fraco retorno</v>
      </c>
      <c r="ES185" s="17" t="str">
        <f>IF(VLOOKUP(BM185,Fundamentus!A:U,16,FALSE)&lt;0.1,"Ineficiente",IF(VLOOKUP(BM185,Fundamentus!A:U,16,FALSE)&gt;0.1,"Eficiente","n/a"))</f>
        <v>Ineficiente</v>
      </c>
      <c r="ET185" s="33" t="str">
        <f>IF(VLOOKUP(BM185,Fundamentus!A:U,16,FALSE)&lt;0.1,"Oper. Ineficiente",IF(VLOOKUP(BM185,Fundamentus!A:U,16,FALSE)&gt;0.1,"Oper.Eficiente","n/a"))</f>
        <v>Oper. Ineficiente</v>
      </c>
      <c r="EU185" s="34">
        <f>VLOOKUP(BM185,Fundamentus!A:U,14,FALSE)</f>
        <v>-5.4800000000000001E-2</v>
      </c>
      <c r="EV185" s="17" t="str">
        <f>IF(VLOOKUP(BM185,Fundamentus!A:U,21,FALSE)&lt;0,"Negativo",IF(VLOOKUP(BM185,Fundamentus!A:U,21,FALSE)&lt;0.05,"Fraco",IF(VLOOKUP(BM185,Fundamentus!A:U,21,FALSE)&lt;0.1,"Bom",IF(VLOOKUP(BM185,Fundamentus!A:U,21,FALSE)&gt;0.1,"Muito bom","n/a"))))</f>
        <v>Negativo</v>
      </c>
      <c r="EX185" s="29" t="str">
        <f>IF(VLOOKUP(BM185,Fundamentus!A:U,15,FALSE)&gt;1,"Bom",IF(VLOOKUP(BM185,Fundamentus!A:U,15,FALSE)&lt;1,"Ruim","n/a"))</f>
        <v>Bom</v>
      </c>
      <c r="EY185" s="17" t="str">
        <f>IF(VLOOKUP(BM185,Fundamentus!A:U,20,FALSE)&lt;0.5,"Baixa",IF(VLOOKUP(BM185,Fundamentus!A:U,20,FALSE)&lt;1,"Moderada",IF(VLOOKUP(BM185,Fundamentus!A:U,20,FALSE)&lt;2,"Alerta",IF(VLOOKUP(BM185,Fundamentus!A:U,20,FALSE)&gt;2,"Alta","n/a"))))</f>
        <v>Baixa</v>
      </c>
      <c r="EZ185" s="10"/>
    </row>
    <row r="186" spans="1:156" s="2" customFormat="1" ht="11.25" x14ac:dyDescent="0.2">
      <c r="A186" s="4">
        <v>15.7</v>
      </c>
      <c r="B186" s="4">
        <v>14.16</v>
      </c>
      <c r="C186" s="4">
        <v>13.8</v>
      </c>
      <c r="D186" s="4">
        <v>13.81</v>
      </c>
      <c r="E186" s="4">
        <v>13.67</v>
      </c>
      <c r="F186" s="4">
        <v>14.56</v>
      </c>
      <c r="G186" s="4">
        <v>14.31</v>
      </c>
      <c r="H186" s="4">
        <v>14.73</v>
      </c>
      <c r="I186" s="4">
        <v>14.99</v>
      </c>
      <c r="J186" s="4">
        <v>15.55</v>
      </c>
      <c r="K186" s="4">
        <v>16.350000000000001</v>
      </c>
      <c r="L186" s="4">
        <v>16.149999999999999</v>
      </c>
      <c r="M186" s="4">
        <v>15.64</v>
      </c>
      <c r="N186" s="4">
        <v>14.85</v>
      </c>
      <c r="O186" s="4">
        <v>15.44</v>
      </c>
      <c r="P186" s="4">
        <v>15.52</v>
      </c>
      <c r="Q186" s="4">
        <v>15.98</v>
      </c>
      <c r="R186" s="4">
        <v>15.65</v>
      </c>
      <c r="S186" s="4">
        <v>16.28</v>
      </c>
      <c r="T186" s="4">
        <v>16.25</v>
      </c>
      <c r="U186" s="4">
        <v>15.78</v>
      </c>
      <c r="V186" s="4">
        <v>15.54</v>
      </c>
      <c r="W186" s="4">
        <v>15.6</v>
      </c>
      <c r="X186" s="4">
        <v>15</v>
      </c>
      <c r="Y186" s="4">
        <v>14.4</v>
      </c>
      <c r="Z186" s="4">
        <v>14.26</v>
      </c>
      <c r="AA186" s="4">
        <v>14.21</v>
      </c>
      <c r="AB186" s="4">
        <v>14.06</v>
      </c>
      <c r="AC186" s="4">
        <v>14</v>
      </c>
      <c r="AD186" s="4">
        <v>13.92</v>
      </c>
      <c r="AE186" s="4">
        <v>13.44</v>
      </c>
      <c r="AF186" s="4">
        <v>13.77</v>
      </c>
      <c r="AG186" s="4">
        <v>13.81</v>
      </c>
      <c r="AH186" s="4">
        <v>13.89</v>
      </c>
      <c r="AI186" s="4">
        <v>13.65</v>
      </c>
      <c r="AJ186" s="4">
        <v>13.31</v>
      </c>
      <c r="AK186" s="4">
        <v>13.33</v>
      </c>
      <c r="AL186" s="4">
        <v>13.41</v>
      </c>
      <c r="AM186" s="4">
        <v>13.6</v>
      </c>
      <c r="AN186" s="4">
        <v>13.41</v>
      </c>
      <c r="AO186" s="4">
        <v>13.35</v>
      </c>
      <c r="AP186" s="4">
        <v>13.5</v>
      </c>
      <c r="AQ186" s="4">
        <v>13.35</v>
      </c>
      <c r="AR186" s="4">
        <v>12.25</v>
      </c>
      <c r="AS186" s="4">
        <v>12.97</v>
      </c>
      <c r="AT186" s="4">
        <v>12.95</v>
      </c>
      <c r="AU186" s="4">
        <v>12.785</v>
      </c>
      <c r="AV186" s="4">
        <v>12.3</v>
      </c>
      <c r="AW186" s="4">
        <v>12.1</v>
      </c>
      <c r="AX186" s="4">
        <v>12.35</v>
      </c>
      <c r="AY186" s="12">
        <v>12.54</v>
      </c>
      <c r="AZ186" s="12">
        <v>12.5</v>
      </c>
      <c r="BA186" s="12">
        <v>12.57</v>
      </c>
      <c r="BB186" s="15">
        <v>13.75</v>
      </c>
      <c r="BC186" s="52">
        <v>15.28</v>
      </c>
      <c r="BD186" s="52">
        <v>17.989999999999998</v>
      </c>
      <c r="BE186" s="52">
        <v>18.79</v>
      </c>
      <c r="BF186" s="52">
        <v>18.8</v>
      </c>
      <c r="BG186" s="67">
        <v>18.399999999999999</v>
      </c>
      <c r="BH186" s="52">
        <v>18.39</v>
      </c>
      <c r="BI186" s="52">
        <v>18.7</v>
      </c>
      <c r="BJ186" s="52">
        <v>18.760000000000002</v>
      </c>
      <c r="BK186" s="52">
        <v>17.170000000000002</v>
      </c>
      <c r="BL186" s="52" cm="1">
        <f t="array" aca="1" ref="BL186" ca="1">_FV(EC186,"Preço")</f>
        <v>17.170000000000002</v>
      </c>
      <c r="BM186" s="69" t="s">
        <v>11</v>
      </c>
      <c r="BN186" s="36" cm="1">
        <f t="array" aca="1" ref="BN186" ca="1">_FV(EC186,"Média de volume",TRUE)</f>
        <v>61030</v>
      </c>
      <c r="BO186" s="36">
        <v>48200</v>
      </c>
      <c r="BP186" s="36" cm="1">
        <f t="array" aca="1" ref="BP186" ca="1">_FV(EC186,"Volume")</f>
        <v>48200</v>
      </c>
      <c r="BQ186" s="24" cm="1">
        <f t="array" aca="1" ref="BQ186" ca="1">_FV(EC186,"Beta")</f>
        <v>1.0206</v>
      </c>
      <c r="BR186" s="71" cm="1">
        <f t="array" aca="1" ref="BR186" ca="1">_FV(EC186,"Variação (%)",TRUE)</f>
        <v>1.0593999999999999E-2</v>
      </c>
      <c r="BT186" s="17" cm="1">
        <f t="array" aca="1" ref="BT186" ca="1">_FV(EC186,"Baixo")</f>
        <v>17</v>
      </c>
      <c r="BU186" s="17" cm="1">
        <f t="array" aca="1" ref="BU186" ca="1">_FV(EC186,"Alto")</f>
        <v>17.61</v>
      </c>
      <c r="BV186" s="24"/>
      <c r="BW186" s="17">
        <f ca="1">SQRT(22.5*(BL186/VLOOKUP(BM186,Fundamentus!A:U,3,FALSE))*(BL186/VLOOKUP(BM186,Fundamentus!A:U,4,FALSE)))</f>
        <v>38.260878573084575</v>
      </c>
      <c r="BY186" s="62">
        <f t="shared" ca="1" si="168"/>
        <v>0</v>
      </c>
      <c r="BZ186" s="8"/>
      <c r="CA186" s="61">
        <f t="shared" si="169"/>
        <v>12.1</v>
      </c>
      <c r="CB186" s="61">
        <f t="shared" si="170"/>
        <v>18.8</v>
      </c>
      <c r="CC186" s="61">
        <f t="shared" si="171"/>
        <v>14.719444444444441</v>
      </c>
      <c r="CD186" s="14"/>
      <c r="CE186" s="35">
        <f t="shared" si="154"/>
        <v>16.953334571570586</v>
      </c>
      <c r="CF186" s="15">
        <f t="shared" si="172"/>
        <v>18.074999999999818</v>
      </c>
      <c r="CG186" s="35">
        <f t="shared" si="155"/>
        <v>19.19666542842905</v>
      </c>
      <c r="CI186" s="14"/>
      <c r="CJ186" s="17">
        <f t="shared" si="156"/>
        <v>7.6066666666666602</v>
      </c>
      <c r="CK186" s="17">
        <f t="shared" si="157"/>
        <v>9.8533333333333299</v>
      </c>
      <c r="CL186" s="17">
        <f t="shared" si="158"/>
        <v>14.306666666666661</v>
      </c>
      <c r="CM186" s="38">
        <f t="shared" si="173"/>
        <v>16.553333333333331</v>
      </c>
      <c r="CN186" s="17">
        <f t="shared" si="159"/>
        <v>21.006666666666661</v>
      </c>
      <c r="CO186" s="17">
        <f t="shared" si="160"/>
        <v>23.25333333333333</v>
      </c>
      <c r="CP186" s="17">
        <f t="shared" si="161"/>
        <v>27.706666666666663</v>
      </c>
      <c r="CQ186" s="2" cm="1">
        <f t="array" aca="1" ref="CQ186" ca="1">MAX(_xlfn._xlws.FILTER(CJ186:CP186,CJ186:CP186&lt;BL186))</f>
        <v>16.553333333333331</v>
      </c>
      <c r="CR186" s="2" cm="1">
        <f t="array" aca="1" ref="CR186" ca="1">MIN(_xlfn._xlws.FILTER($CJ186:$CP186,$CJ186:$CP186&gt;BL186))</f>
        <v>21.006666666666661</v>
      </c>
      <c r="CS186" s="16">
        <f t="shared" ca="1" si="192"/>
        <v>0.26902939991945218</v>
      </c>
      <c r="CT186" s="20">
        <f t="shared" ca="1" si="193"/>
        <v>-0.13451469995972609</v>
      </c>
      <c r="CU186" s="20">
        <f t="shared" ca="1" si="194"/>
        <v>-8.967646663981739E-2</v>
      </c>
      <c r="CV186" s="20">
        <f t="shared" ca="1" si="195"/>
        <v>-5.3805879983890435E-2</v>
      </c>
      <c r="CW186" s="20">
        <f t="shared" ca="1" si="196"/>
        <v>-2.9892155546605799E-2</v>
      </c>
      <c r="CX186" s="20">
        <f t="shared" ca="1" si="197"/>
        <v>-1.5825258818791304E-2</v>
      </c>
      <c r="CY186" s="20">
        <f t="shared" ca="1" si="198"/>
        <v>-8.1524060581652184E-3</v>
      </c>
      <c r="CZ186" s="20">
        <f t="shared" ca="1" si="199"/>
        <v>-4.1389138449146488E-3</v>
      </c>
      <c r="DA186" s="21">
        <f t="shared" ca="1" si="200"/>
        <v>4.1389138449146488E-3</v>
      </c>
      <c r="DB186" s="21">
        <f t="shared" ca="1" si="201"/>
        <v>8.1524060581652184E-3</v>
      </c>
      <c r="DC186" s="21">
        <f t="shared" ca="1" si="202"/>
        <v>1.5825258818791304E-2</v>
      </c>
      <c r="DD186" s="21">
        <f t="shared" ca="1" si="203"/>
        <v>2.9892155546605799E-2</v>
      </c>
      <c r="DE186" s="21">
        <f t="shared" ca="1" si="204"/>
        <v>5.3805879983890435E-2</v>
      </c>
      <c r="DF186" s="21">
        <f t="shared" ca="1" si="205"/>
        <v>8.967646663981739E-2</v>
      </c>
      <c r="DG186" s="21">
        <f t="shared" ca="1" si="206"/>
        <v>0.13451469995972609</v>
      </c>
      <c r="DI186" s="16" cm="1">
        <f t="array" aca="1" ref="DI186" ca="1">MAX(_xlfn._xlws.FILTER(CT186:DG186,CT186:DG186&lt;BR186))</f>
        <v>8.1524060581652184E-3</v>
      </c>
      <c r="DJ186" s="16" cm="1">
        <f t="array" aca="1" ref="DJ186" ca="1">MIN(_xlfn._xlws.FILTER(CT186:DG186,CT186:DG186&gt;BR186))</f>
        <v>1.5825258818791304E-2</v>
      </c>
      <c r="DK186" s="2" cm="1">
        <f t="array" aca="1" ref="DK186" ca="1">_FV(EC186,"Fechamento anterior",TRUE)</f>
        <v>16.989999999999998</v>
      </c>
      <c r="DL186" s="28">
        <f t="shared" ca="1" si="162"/>
        <v>0.31827292295928877</v>
      </c>
      <c r="DM186" s="15">
        <f t="shared" ca="1" si="207"/>
        <v>17.128509378928225</v>
      </c>
      <c r="DN186" s="15">
        <f t="shared" ca="1" si="208"/>
        <v>17.258871147331263</v>
      </c>
      <c r="DO186" s="9"/>
      <c r="DP186" s="9"/>
      <c r="DQ186" s="9"/>
      <c r="DR186" s="89">
        <v>6.3038871420593185E-3</v>
      </c>
      <c r="DS186" s="89">
        <v>1.3787800448103512E-2</v>
      </c>
      <c r="DT186" s="89">
        <v>4.0134922132505696E-3</v>
      </c>
      <c r="DU186" s="89">
        <v>7.6728527606260855E-3</v>
      </c>
      <c r="DV186" s="89">
        <f t="shared" ca="1" si="163"/>
        <v>7.6728527606260855E-3</v>
      </c>
      <c r="DW186" s="75">
        <f t="shared" ca="1" si="164"/>
        <v>-0.80683595755212734</v>
      </c>
      <c r="DX186" s="37"/>
      <c r="DY186" s="35">
        <f t="shared" si="174"/>
        <v>0.56083271421461578</v>
      </c>
      <c r="DZ186" s="56"/>
      <c r="EA186" s="56"/>
      <c r="EC186" s="2" t="e" vm="188">
        <v>#VALUE!</v>
      </c>
      <c r="EE186" s="10" cm="1">
        <f t="array" aca="1" ref="EE186" ca="1">_FV(EC186,"Ações em circulação",TRUE)</f>
        <v>92619260</v>
      </c>
      <c r="EF186" s="18">
        <f>VLOOKUP(BM186,Fundamentus!A:U,5,FALSE)</f>
        <v>0.57499999999999996</v>
      </c>
      <c r="EG186" s="2">
        <f t="shared" ca="1" si="165"/>
        <v>2765691642.086957</v>
      </c>
      <c r="EH186" s="17">
        <v>224850730.50166959</v>
      </c>
      <c r="EI186" s="17">
        <f t="shared" ca="1" si="166"/>
        <v>224850730.50166959</v>
      </c>
      <c r="EK186" s="16">
        <f t="shared" ca="1" si="153"/>
        <v>0</v>
      </c>
      <c r="EL186" s="32" t="str">
        <f>IF(VLOOKUP(BM186,Fundamentus!A:U,3,FALSE)&lt;15,"Bom",IF(VLOOKUP(BM186,Fundamentus!A:U,3,FALSE)&gt;15,"Ruim","n/a"))</f>
        <v>Bom</v>
      </c>
      <c r="EM186" s="28" t="str">
        <f>IF(VLOOKUP(BM186,Fundamentus!A:U,4,FALSE)&lt;1,"Baixo",IF(VLOOKUP(BM186,Fundamentus!A:U,4,FALSE)&lt;1.5,"Moderado",IF(VLOOKUP(BM186,Fundamentus!A:U,4,FALSE)&gt;1.5,"Alto","n/a")))</f>
        <v>Baixo</v>
      </c>
      <c r="EN186" s="17" t="str">
        <f>IF(VLOOKUP(BM186,Fundamentus!A:U,8,FALSE)&lt;0,"Risco elevado",IF(VLOOKUP(BM186,Fundamentus!A:U,8,FALSE)&lt;1,"Saudável",IF(VLOOKUP(BM186,Fundamentus!A:U,8,FALSE)&lt;3,"Estável",IF(VLOOKUP(BM186,Fundamentus!A:U,8,FALSE)&gt;3,"Alerta","n/a"))))</f>
        <v>Estável</v>
      </c>
      <c r="EO186" s="28" t="str">
        <f t="shared" si="167"/>
        <v>Ruim</v>
      </c>
      <c r="EP186" s="17" t="str">
        <f>IF(VLOOKUP(BM186,Fundamentus!A:U,12,FALSE)&lt;2,"Subvalorizada",IF(VLOOKUP(BM186,Fundamentus!A:U,12,FALSE)&lt;6,"Muita barata",IF(VLOOKUP(BM186,Fundamentus!A:U,12,FALSE)&lt;6,"Barata",IF(VLOOKUP(BM186,Fundamentus!A:U,12,FALSE)&lt;8,"Atrativa",IF(VLOOKUP(BM186,Fundamentus!A:U,12,FALSE)&gt;8,"Supervalorizada","n/a")))))</f>
        <v>Muita barata</v>
      </c>
      <c r="ER186" s="17" t="str">
        <f>IF(VLOOKUP(BM186,Fundamentus!A:U,17,FALSE)&lt;0.1,"Fraco retorno",IF(VLOOKUP(BM186,Fundamentus!A:U,17,FALSE)&gt;0.1,"Bom retorno","n/a"))</f>
        <v>Fraco retorno</v>
      </c>
      <c r="ES186" s="17" t="str">
        <f>IF(VLOOKUP(BM186,Fundamentus!A:U,16,FALSE)&lt;0.1,"Ineficiente",IF(VLOOKUP(BM186,Fundamentus!A:U,16,FALSE)&gt;0.1,"Eficiente","n/a"))</f>
        <v>Eficiente</v>
      </c>
      <c r="ET186" s="33" t="str">
        <f>IF(VLOOKUP(BM186,Fundamentus!A:U,16,FALSE)&lt;0.1,"Oper. Ineficiente",IF(VLOOKUP(BM186,Fundamentus!A:U,16,FALSE)&gt;0.1,"Oper.Eficiente","n/a"))</f>
        <v>Oper.Eficiente</v>
      </c>
      <c r="EU186" s="34">
        <f>VLOOKUP(BM186,Fundamentus!A:U,14,FALSE)</f>
        <v>8.1299999999999997E-2</v>
      </c>
      <c r="EV186" s="17" t="str">
        <f>IF(VLOOKUP(BM186,Fundamentus!A:U,21,FALSE)&lt;0,"Negativo",IF(VLOOKUP(BM186,Fundamentus!A:U,21,FALSE)&lt;0.05,"Fraco",IF(VLOOKUP(BM186,Fundamentus!A:U,21,FALSE)&lt;0.1,"Bom",IF(VLOOKUP(BM186,Fundamentus!A:U,21,FALSE)&gt;0.1,"Muito bom","n/a"))))</f>
        <v>Bom</v>
      </c>
      <c r="EX186" s="29" t="str">
        <f>IF(VLOOKUP(BM186,Fundamentus!A:U,15,FALSE)&gt;1,"Bom",IF(VLOOKUP(BM186,Fundamentus!A:U,15,FALSE)&lt;1,"Ruim","n/a"))</f>
        <v>Bom</v>
      </c>
      <c r="EY186" s="17" t="str">
        <f>IF(VLOOKUP(BM186,Fundamentus!A:U,20,FALSE)&lt;0.5,"Baixa",IF(VLOOKUP(BM186,Fundamentus!A:U,20,FALSE)&lt;1,"Moderada",IF(VLOOKUP(BM186,Fundamentus!A:U,20,FALSE)&lt;2,"Alerta",IF(VLOOKUP(BM186,Fundamentus!A:U,20,FALSE)&gt;2,"Alta","n/a"))))</f>
        <v>Baixa</v>
      </c>
      <c r="EZ186" s="10">
        <v>1</v>
      </c>
    </row>
    <row r="187" spans="1:156" s="2" customFormat="1" ht="11.25" x14ac:dyDescent="0.2">
      <c r="A187" s="4">
        <v>11.39</v>
      </c>
      <c r="B187" s="4">
        <v>11.21</v>
      </c>
      <c r="C187" s="4">
        <v>11.42</v>
      </c>
      <c r="D187" s="4">
        <v>11.15</v>
      </c>
      <c r="E187" s="4">
        <v>10.67</v>
      </c>
      <c r="F187" s="4">
        <v>10.75</v>
      </c>
      <c r="G187" s="4">
        <v>10.37</v>
      </c>
      <c r="H187" s="4">
        <v>10.39</v>
      </c>
      <c r="I187" s="4">
        <v>10.24</v>
      </c>
      <c r="J187" s="4">
        <v>10.52</v>
      </c>
      <c r="K187" s="4">
        <v>11.51</v>
      </c>
      <c r="L187" s="4">
        <v>11.17</v>
      </c>
      <c r="M187" s="4">
        <v>10.95</v>
      </c>
      <c r="N187" s="4">
        <v>10.86</v>
      </c>
      <c r="O187" s="4">
        <v>12.02</v>
      </c>
      <c r="P187" s="4">
        <v>12.5</v>
      </c>
      <c r="Q187" s="4">
        <v>12.74</v>
      </c>
      <c r="R187" s="4">
        <v>12.68</v>
      </c>
      <c r="S187" s="4">
        <v>12.23</v>
      </c>
      <c r="T187" s="4">
        <v>12.13</v>
      </c>
      <c r="U187" s="4">
        <v>11.6</v>
      </c>
      <c r="V187" s="4">
        <v>10.73</v>
      </c>
      <c r="W187" s="4">
        <v>10.75</v>
      </c>
      <c r="X187" s="4">
        <v>10.69</v>
      </c>
      <c r="Y187" s="4">
        <v>10.58</v>
      </c>
      <c r="Z187" s="4">
        <v>10.71</v>
      </c>
      <c r="AA187" s="4">
        <v>10.42</v>
      </c>
      <c r="AB187" s="4">
        <v>10.3</v>
      </c>
      <c r="AC187" s="4">
        <v>10.27</v>
      </c>
      <c r="AD187" s="4">
        <v>10.02</v>
      </c>
      <c r="AE187" s="4">
        <v>9.26</v>
      </c>
      <c r="AF187" s="4">
        <v>9.93</v>
      </c>
      <c r="AG187" s="4">
        <v>10.220000000000001</v>
      </c>
      <c r="AH187" s="4">
        <v>10.26</v>
      </c>
      <c r="AI187" s="4">
        <v>10.36</v>
      </c>
      <c r="AJ187" s="4">
        <v>10.1</v>
      </c>
      <c r="AK187" s="4">
        <v>9.8000000000000007</v>
      </c>
      <c r="AL187" s="4">
        <v>10.35</v>
      </c>
      <c r="AM187" s="4">
        <v>10.37</v>
      </c>
      <c r="AN187" s="4">
        <v>11.19</v>
      </c>
      <c r="AO187" s="4">
        <v>10.96</v>
      </c>
      <c r="AP187" s="4">
        <v>11.59</v>
      </c>
      <c r="AQ187" s="4">
        <v>11.22</v>
      </c>
      <c r="AR187" s="4">
        <v>10.4</v>
      </c>
      <c r="AS187" s="4">
        <v>10.7</v>
      </c>
      <c r="AT187" s="4">
        <v>12.87</v>
      </c>
      <c r="AU187" s="4">
        <v>12.45</v>
      </c>
      <c r="AV187" s="4">
        <v>12.24</v>
      </c>
      <c r="AW187" s="4">
        <v>12.05</v>
      </c>
      <c r="AX187" s="4">
        <v>11.94</v>
      </c>
      <c r="AY187" s="12">
        <v>12.18</v>
      </c>
      <c r="AZ187" s="12">
        <v>13.39</v>
      </c>
      <c r="BA187" s="12">
        <v>13.49</v>
      </c>
      <c r="BB187" s="15">
        <v>14.25</v>
      </c>
      <c r="BC187" s="52">
        <v>14.77</v>
      </c>
      <c r="BD187" s="52">
        <v>14.39</v>
      </c>
      <c r="BE187" s="52">
        <v>13.95</v>
      </c>
      <c r="BF187" s="52">
        <v>13.57</v>
      </c>
      <c r="BG187" s="67">
        <v>13.05</v>
      </c>
      <c r="BH187" s="52">
        <v>13.62</v>
      </c>
      <c r="BI187" s="52">
        <v>14.12</v>
      </c>
      <c r="BJ187" s="52">
        <v>14.71</v>
      </c>
      <c r="BK187" s="52">
        <v>13.71</v>
      </c>
      <c r="BL187" s="52" cm="1">
        <f t="array" aca="1" ref="BL187" ca="1">_FV(EC187,"Preço")</f>
        <v>13.71</v>
      </c>
      <c r="BM187" s="69" t="s">
        <v>183</v>
      </c>
      <c r="BN187" s="36" cm="1">
        <f t="array" aca="1" ref="BN187" ca="1">_FV(EC187,"Média de volume",TRUE)</f>
        <v>35464540</v>
      </c>
      <c r="BO187" s="36">
        <v>24753200</v>
      </c>
      <c r="BP187" s="36" cm="1">
        <f t="array" aca="1" ref="BP187" ca="1">_FV(EC187,"Volume")</f>
        <v>24753200</v>
      </c>
      <c r="BQ187" s="24" cm="1">
        <f t="array" aca="1" ref="BQ187" ca="1">_FV(EC187,"Beta")</f>
        <v>1.4935</v>
      </c>
      <c r="BR187" s="71" cm="1">
        <f t="array" aca="1" ref="BR187" ca="1">_FV(EC187,"Variação (%)",TRUE)</f>
        <v>-2.5586000000000001E-2</v>
      </c>
      <c r="BT187" s="17" cm="1">
        <f t="array" aca="1" ref="BT187" ca="1">_FV(EC187,"Baixo")</f>
        <v>13.52</v>
      </c>
      <c r="BU187" s="17" cm="1">
        <f t="array" aca="1" ref="BU187" ca="1">_FV(EC187,"Alto")</f>
        <v>14.05</v>
      </c>
      <c r="BV187" s="24"/>
      <c r="BW187" s="63">
        <f ca="1">SQRT(22.5*(BL187/VLOOKUP(BM187,Fundamentus!A:U,3,FALSE))*(BL187/VLOOKUP(BM187,Fundamentus!A:U,4,FALSE)))</f>
        <v>8.9208217766399258</v>
      </c>
      <c r="BY187" s="62">
        <f t="shared" ca="1" si="168"/>
        <v>0</v>
      </c>
      <c r="BZ187" s="8"/>
      <c r="CA187" s="61">
        <f t="shared" si="169"/>
        <v>9.26</v>
      </c>
      <c r="CB187" s="61">
        <f t="shared" si="170"/>
        <v>14.77</v>
      </c>
      <c r="CC187" s="61">
        <f t="shared" si="171"/>
        <v>11.594126984126985</v>
      </c>
      <c r="CD187" s="14"/>
      <c r="CE187" s="35">
        <f t="shared" si="154"/>
        <v>13.054624798259109</v>
      </c>
      <c r="CF187" s="15">
        <f t="shared" si="172"/>
        <v>14.08299999999997</v>
      </c>
      <c r="CG187" s="35">
        <f t="shared" si="155"/>
        <v>15.111375201740831</v>
      </c>
      <c r="CI187" s="14"/>
      <c r="CJ187" s="17">
        <f t="shared" si="156"/>
        <v>5.5466666666666686</v>
      </c>
      <c r="CK187" s="17">
        <f t="shared" si="157"/>
        <v>7.4033333333333342</v>
      </c>
      <c r="CL187" s="17">
        <f t="shared" si="158"/>
        <v>11.056666666666668</v>
      </c>
      <c r="CM187" s="38">
        <f t="shared" si="173"/>
        <v>12.913333333333334</v>
      </c>
      <c r="CN187" s="17">
        <f t="shared" si="159"/>
        <v>16.56666666666667</v>
      </c>
      <c r="CO187" s="17">
        <f t="shared" si="160"/>
        <v>18.423333333333332</v>
      </c>
      <c r="CP187" s="17">
        <f t="shared" si="161"/>
        <v>22.076666666666668</v>
      </c>
      <c r="CQ187" s="2" cm="1">
        <f t="array" aca="1" ref="CQ187" ca="1">MAX(_xlfn._xlws.FILTER(CJ187:CP187,CJ187:CP187&lt;BL187))</f>
        <v>12.913333333333334</v>
      </c>
      <c r="CR187" s="2" cm="1">
        <f t="array" aca="1" ref="CR187" ca="1">MIN(_xlfn._xlws.FILTER($CJ187:$CP187,$CJ187:$CP187&gt;BL187))</f>
        <v>16.56666666666667</v>
      </c>
      <c r="CS187" s="16">
        <f t="shared" ref="CS187:CS205" ca="1" si="209">(CR187/CQ187)-1</f>
        <v>0.28291171915333013</v>
      </c>
      <c r="CT187" s="20">
        <f t="shared" ref="CT187:CT205" ca="1" si="210">-$CS187/2</f>
        <v>-0.14145585957666507</v>
      </c>
      <c r="CU187" s="20">
        <f t="shared" ref="CU187:CU205" ca="1" si="211">-$CS187/3</f>
        <v>-9.4303906384443373E-2</v>
      </c>
      <c r="CV187" s="20">
        <f t="shared" ref="CV187:CV205" ca="1" si="212">-$CS187/5</f>
        <v>-5.6582343830666029E-2</v>
      </c>
      <c r="CW187" s="20">
        <f t="shared" ref="CW187:CW205" ca="1" si="213">-$CS187/9</f>
        <v>-3.1434635461481127E-2</v>
      </c>
      <c r="CX187" s="20">
        <f t="shared" ref="CX187:CX205" ca="1" si="214">-$CS187/17</f>
        <v>-1.6641865832548831E-2</v>
      </c>
      <c r="CY187" s="20">
        <f t="shared" ref="CY187:CY205" ca="1" si="215">-$CS187/33</f>
        <v>-8.5730823985857608E-3</v>
      </c>
      <c r="CZ187" s="20">
        <f t="shared" ref="CZ187:CZ205" ca="1" si="216">-$CS187/65</f>
        <v>-4.3524879869743099E-3</v>
      </c>
      <c r="DA187" s="21">
        <f t="shared" ref="DA187:DA205" ca="1" si="217">-$CS187/65*-1</f>
        <v>4.3524879869743099E-3</v>
      </c>
      <c r="DB187" s="21">
        <f t="shared" ref="DB187:DB205" ca="1" si="218">-$CS187/33*-1</f>
        <v>8.5730823985857608E-3</v>
      </c>
      <c r="DC187" s="21">
        <f t="shared" ref="DC187:DC205" ca="1" si="219">-$CS187/17*-1</f>
        <v>1.6641865832548831E-2</v>
      </c>
      <c r="DD187" s="21">
        <f t="shared" ref="DD187:DD205" ca="1" si="220">-$CS187/9*-1</f>
        <v>3.1434635461481127E-2</v>
      </c>
      <c r="DE187" s="21">
        <f t="shared" ref="DE187:DE205" ca="1" si="221">-$CS187/5*-1</f>
        <v>5.6582343830666029E-2</v>
      </c>
      <c r="DF187" s="21">
        <f t="shared" ref="DF187:DF205" ca="1" si="222">-$CS187/3*-1</f>
        <v>9.4303906384443373E-2</v>
      </c>
      <c r="DG187" s="21">
        <f t="shared" ref="DG187:DG205" ca="1" si="223">-$CS187/2*-1</f>
        <v>0.14145585957666507</v>
      </c>
      <c r="DI187" s="16" cm="1">
        <f t="array" aca="1" ref="DI187" ca="1">MAX(_xlfn._xlws.FILTER(CT187:DG187,CT187:DG187&lt;BR187))</f>
        <v>-3.1434635461481127E-2</v>
      </c>
      <c r="DJ187" s="16" cm="1">
        <f t="array" aca="1" ref="DJ187" ca="1">MIN(_xlfn._xlws.FILTER(CT187:DG187,CT187:DG187&gt;BR187))</f>
        <v>-1.6641865832548831E-2</v>
      </c>
      <c r="DK187" s="2" cm="1">
        <f t="array" aca="1" ref="DK187" ca="1">_FV(EC187,"Fechamento anterior",TRUE)</f>
        <v>14.07</v>
      </c>
      <c r="DL187" s="28">
        <f t="shared" ca="1" si="162"/>
        <v>0.39534729895880849</v>
      </c>
      <c r="DM187" s="15">
        <f t="shared" ref="DM187:DM205" ca="1" si="224">DK187+(DK187*DI187)</f>
        <v>13.627714679056961</v>
      </c>
      <c r="DN187" s="15">
        <f t="shared" ref="DN187:DN205" ca="1" si="225">DK187+(DK187*DJ187)</f>
        <v>13.835848947736038</v>
      </c>
      <c r="DO187" s="9"/>
      <c r="DP187" s="9"/>
      <c r="DQ187" s="9"/>
      <c r="DR187" s="89">
        <v>6.6368414194501162E-3</v>
      </c>
      <c r="DS187" s="89">
        <v>3.7416736445862651E-3</v>
      </c>
      <c r="DT187" s="89">
        <v>4.2205944116114509E-3</v>
      </c>
      <c r="DU187" s="89">
        <v>1.4792769628932296E-2</v>
      </c>
      <c r="DV187" s="89">
        <f t="shared" ca="1" si="163"/>
        <v>1.4792769628932296E-2</v>
      </c>
      <c r="DW187" s="72">
        <f t="shared" ca="1" si="164"/>
        <v>-0.3627080849173967</v>
      </c>
      <c r="DX187" s="37"/>
      <c r="DY187" s="35">
        <f t="shared" si="174"/>
        <v>0.51418760087043025</v>
      </c>
      <c r="DZ187" s="56"/>
      <c r="EA187" s="56"/>
      <c r="EC187" s="2" t="e" vm="189">
        <v>#VALUE!</v>
      </c>
      <c r="EE187" s="10" cm="1">
        <f t="array" aca="1" ref="EE187" ca="1">_FV(EC187,"Ações em circulação",TRUE)</f>
        <v>5426500000</v>
      </c>
      <c r="EF187" s="18">
        <f>VLOOKUP(BM187,Fundamentus!A:U,5,FALSE)</f>
        <v>6.3849999999999998</v>
      </c>
      <c r="EG187" s="2">
        <f t="shared" ca="1" si="165"/>
        <v>11651889584.964762</v>
      </c>
      <c r="EH187" s="17">
        <v>5123335850.5090055</v>
      </c>
      <c r="EI187" s="17">
        <f t="shared" ca="1" si="166"/>
        <v>5123335850.5090055</v>
      </c>
      <c r="EK187" s="16">
        <f t="shared" ca="1" si="153"/>
        <v>0</v>
      </c>
      <c r="EL187" s="32" t="str">
        <f>IF(VLOOKUP(BM187,Fundamentus!A:U,3,FALSE)&lt;15,"Bom",IF(VLOOKUP(BM187,Fundamentus!A:U,3,FALSE)&gt;15,"Ruim","n/a"))</f>
        <v>Bom</v>
      </c>
      <c r="EM187" s="28" t="str">
        <f>IF(VLOOKUP(BM187,Fundamentus!A:U,4,FALSE)&lt;1,"Baixo",IF(VLOOKUP(BM187,Fundamentus!A:U,4,FALSE)&lt;1.5,"Moderado",IF(VLOOKUP(BM187,Fundamentus!A:U,4,FALSE)&gt;1.5,"Alto","n/a")))</f>
        <v>Alto</v>
      </c>
      <c r="EN187" s="17" t="str">
        <f>IF(VLOOKUP(BM187,Fundamentus!A:U,8,FALSE)&lt;0,"Risco elevado",IF(VLOOKUP(BM187,Fundamentus!A:U,8,FALSE)&lt;1,"Saudável",IF(VLOOKUP(BM187,Fundamentus!A:U,8,FALSE)&lt;3,"Estável",IF(VLOOKUP(BM187,Fundamentus!A:U,8,FALSE)&gt;3,"Alerta","n/a"))))</f>
        <v>Alerta</v>
      </c>
      <c r="EO187" s="28" t="str">
        <f t="shared" si="167"/>
        <v>Bom</v>
      </c>
      <c r="EP187" s="17" t="str">
        <f>IF(VLOOKUP(BM187,Fundamentus!A:U,12,FALSE)&lt;2,"Subvalorizada",IF(VLOOKUP(BM187,Fundamentus!A:U,12,FALSE)&lt;6,"Muita barata",IF(VLOOKUP(BM187,Fundamentus!A:U,12,FALSE)&lt;6,"Barata",IF(VLOOKUP(BM187,Fundamentus!A:U,12,FALSE)&lt;8,"Atrativa",IF(VLOOKUP(BM187,Fundamentus!A:U,12,FALSE)&gt;8,"Supervalorizada","n/a")))))</f>
        <v>Supervalorizada</v>
      </c>
      <c r="ER187" s="17" t="str">
        <f>IF(VLOOKUP(BM187,Fundamentus!A:U,17,FALSE)&lt;0.1,"Fraco retorno",IF(VLOOKUP(BM187,Fundamentus!A:U,17,FALSE)&gt;0.1,"Bom retorno","n/a"))</f>
        <v>Bom retorno</v>
      </c>
      <c r="ES187" s="17" t="str">
        <f>IF(VLOOKUP(BM187,Fundamentus!A:U,16,FALSE)&lt;0.1,"Ineficiente",IF(VLOOKUP(BM187,Fundamentus!A:U,16,FALSE)&gt;0.1,"Eficiente","n/a"))</f>
        <v>Eficiente</v>
      </c>
      <c r="ET187" s="33" t="str">
        <f>IF(VLOOKUP(BM187,Fundamentus!A:U,16,FALSE)&lt;0.1,"Oper. Ineficiente",IF(VLOOKUP(BM187,Fundamentus!A:U,16,FALSE)&gt;0.1,"Oper.Eficiente","n/a"))</f>
        <v>Oper.Eficiente</v>
      </c>
      <c r="EU187" s="34">
        <f>VLOOKUP(BM187,Fundamentus!A:U,14,FALSE)</f>
        <v>0.43969999999999998</v>
      </c>
      <c r="EV187" s="17" t="str">
        <f>IF(VLOOKUP(BM187,Fundamentus!A:U,21,FALSE)&lt;0,"Negativo",IF(VLOOKUP(BM187,Fundamentus!A:U,21,FALSE)&lt;0.05,"Fraco",IF(VLOOKUP(BM187,Fundamentus!A:U,21,FALSE)&lt;0.1,"Bom",IF(VLOOKUP(BM187,Fundamentus!A:U,21,FALSE)&gt;0.1,"Muito bom","n/a"))))</f>
        <v>Fraco</v>
      </c>
      <c r="EX187" s="29" t="str">
        <f>IF(VLOOKUP(BM187,Fundamentus!A:U,15,FALSE)&gt;1,"Bom",IF(VLOOKUP(BM187,Fundamentus!A:U,15,FALSE)&lt;1,"Ruim","n/a"))</f>
        <v>Bom</v>
      </c>
      <c r="EY187" s="17" t="str">
        <f>IF(VLOOKUP(BM187,Fundamentus!A:U,20,FALSE)&lt;0.5,"Baixa",IF(VLOOKUP(BM187,Fundamentus!A:U,20,FALSE)&lt;1,"Moderada",IF(VLOOKUP(BM187,Fundamentus!A:U,20,FALSE)&lt;2,"Alerta",IF(VLOOKUP(BM187,Fundamentus!A:U,20,FALSE)&gt;2,"Alta","n/a"))))</f>
        <v>Moderada</v>
      </c>
      <c r="EZ187" s="10"/>
    </row>
    <row r="188" spans="1:156" s="2" customFormat="1" ht="11.25" x14ac:dyDescent="0.2">
      <c r="A188" s="4">
        <v>0.85</v>
      </c>
      <c r="B188" s="4">
        <v>0.72</v>
      </c>
      <c r="C188" s="4">
        <v>0.67</v>
      </c>
      <c r="D188" s="4">
        <v>0.7</v>
      </c>
      <c r="E188" s="4">
        <v>0.7</v>
      </c>
      <c r="F188" s="4">
        <v>0.56000000000000005</v>
      </c>
      <c r="G188" s="4">
        <v>0.54</v>
      </c>
      <c r="H188" s="4">
        <v>0.54</v>
      </c>
      <c r="I188" s="4">
        <v>0.61</v>
      </c>
      <c r="J188" s="4">
        <v>0.66</v>
      </c>
      <c r="K188" s="4">
        <v>0.67</v>
      </c>
      <c r="L188" s="4">
        <v>0.71</v>
      </c>
      <c r="M188" s="4">
        <v>0.71</v>
      </c>
      <c r="N188" s="4">
        <v>0.77</v>
      </c>
      <c r="O188" s="4">
        <v>0.73</v>
      </c>
      <c r="P188" s="4">
        <v>0.59</v>
      </c>
      <c r="Q188" s="4">
        <v>0.56999999999999995</v>
      </c>
      <c r="R188" s="4">
        <v>0.61</v>
      </c>
      <c r="S188" s="4">
        <v>0.63</v>
      </c>
      <c r="T188" s="4">
        <v>0.53</v>
      </c>
      <c r="U188" s="4">
        <v>0.46</v>
      </c>
      <c r="V188" s="4">
        <v>0.48</v>
      </c>
      <c r="W188" s="4">
        <v>0.49</v>
      </c>
      <c r="X188" s="4">
        <v>4.55</v>
      </c>
      <c r="Y188" s="4">
        <v>4.7699999999999996</v>
      </c>
      <c r="Z188" s="4">
        <v>5.3</v>
      </c>
      <c r="AA188" s="4">
        <v>5.61</v>
      </c>
      <c r="AB188" s="4">
        <v>6.41</v>
      </c>
      <c r="AC188" s="4">
        <v>6.4</v>
      </c>
      <c r="AD188" s="4">
        <v>6.63</v>
      </c>
      <c r="AE188" s="4">
        <v>6.01</v>
      </c>
      <c r="AF188" s="4">
        <v>6.47</v>
      </c>
      <c r="AG188" s="4">
        <v>6.72</v>
      </c>
      <c r="AH188" s="4">
        <v>8.18</v>
      </c>
      <c r="AI188" s="4">
        <v>8.2100000000000009</v>
      </c>
      <c r="AJ188" s="4">
        <v>8.16</v>
      </c>
      <c r="AK188" s="4">
        <v>8.2799999999999994</v>
      </c>
      <c r="AL188" s="4">
        <v>8.41</v>
      </c>
      <c r="AM188" s="4">
        <v>8.5</v>
      </c>
      <c r="AN188" s="4">
        <v>8.59</v>
      </c>
      <c r="AO188" s="4">
        <v>8.5500000000000007</v>
      </c>
      <c r="AP188" s="4">
        <v>8.5500000000000007</v>
      </c>
      <c r="AQ188" s="4">
        <v>8.67</v>
      </c>
      <c r="AR188" s="4">
        <v>8.73</v>
      </c>
      <c r="AS188" s="4">
        <v>8.75</v>
      </c>
      <c r="AT188" s="4">
        <v>8.77</v>
      </c>
      <c r="AU188" s="4">
        <v>8.73</v>
      </c>
      <c r="AV188" s="4">
        <v>8.82</v>
      </c>
      <c r="AW188" s="4">
        <v>8.84</v>
      </c>
      <c r="AX188" s="4">
        <v>8.8800000000000008</v>
      </c>
      <c r="AY188" s="12">
        <v>8.8699999999999992</v>
      </c>
      <c r="AZ188" s="12">
        <v>8.8699999999999992</v>
      </c>
      <c r="BA188" s="12">
        <v>8.8699999999999992</v>
      </c>
      <c r="BB188" s="15">
        <v>8.8699999999999992</v>
      </c>
      <c r="BC188" s="52">
        <v>8.8699999999999992</v>
      </c>
      <c r="BD188" s="52">
        <v>8.8699999999999992</v>
      </c>
      <c r="BE188" s="52">
        <v>8.8699999999999992</v>
      </c>
      <c r="BF188" s="52">
        <v>8.8699999999999992</v>
      </c>
      <c r="BG188" s="67">
        <v>8.8699999999999992</v>
      </c>
      <c r="BH188" s="52">
        <v>8.8699999999999992</v>
      </c>
      <c r="BI188" s="52">
        <v>8.8699999999999992</v>
      </c>
      <c r="BJ188" s="52">
        <v>8.8699999999999992</v>
      </c>
      <c r="BK188" s="52">
        <v>8.8699999999999992</v>
      </c>
      <c r="BL188" s="52" cm="1">
        <f t="array" aca="1" ref="BL188" ca="1">_FV(EC188,"Preço")</f>
        <v>8.8699999999999992</v>
      </c>
      <c r="BM188" s="69" t="s">
        <v>184</v>
      </c>
      <c r="BN188" s="36" t="e" cm="1" vm="3">
        <f t="array" ref="BN188">_FV(EC188,"Média de volume",TRUE)</f>
        <v>#VALUE!</v>
      </c>
      <c r="BO188" s="36">
        <v>20000</v>
      </c>
      <c r="BP188" s="36" cm="1">
        <f t="array" aca="1" ref="BP188" ca="1">_FV(EC188,"Volume")</f>
        <v>20000</v>
      </c>
      <c r="BQ188" s="24" cm="1">
        <f t="array" aca="1" ref="BQ188" ca="1">_FV(EC188,"Beta")</f>
        <v>0.82779999999999998</v>
      </c>
      <c r="BR188" s="71" cm="1">
        <f t="array" aca="1" ref="BR188" ca="1">_FV(EC188,"Variação (%)",TRUE)</f>
        <v>0</v>
      </c>
      <c r="BT188" s="17" cm="1">
        <f t="array" aca="1" ref="BT188" ca="1">_FV(EC188,"Baixo")</f>
        <v>8.8699999999999992</v>
      </c>
      <c r="BU188" s="17" cm="1">
        <f t="array" aca="1" ref="BU188" ca="1">_FV(EC188,"Alto")</f>
        <v>8.8800000000000008</v>
      </c>
      <c r="BV188" s="24"/>
      <c r="BW188" s="63" t="e">
        <f ca="1">SQRT(22.5*(BL188/VLOOKUP(BM188,Fundamentus!A:U,3,FALSE))*(BL188/VLOOKUP(BM188,Fundamentus!A:U,4,FALSE)))</f>
        <v>#NUM!</v>
      </c>
      <c r="BY188" s="62">
        <f t="shared" ca="1" si="168"/>
        <v>0</v>
      </c>
      <c r="BZ188" s="8"/>
      <c r="CA188" s="61">
        <f t="shared" si="169"/>
        <v>0.46</v>
      </c>
      <c r="CB188" s="61">
        <f t="shared" si="170"/>
        <v>8.8800000000000008</v>
      </c>
      <c r="CC188" s="61">
        <f t="shared" si="171"/>
        <v>5.306349206349207</v>
      </c>
      <c r="CD188" s="14"/>
      <c r="CE188" s="35">
        <f t="shared" si="154"/>
        <v>8.8699999999999992</v>
      </c>
      <c r="CF188" s="15">
        <f t="shared" si="172"/>
        <v>8.8699999999999992</v>
      </c>
      <c r="CG188" s="35">
        <f t="shared" si="155"/>
        <v>8.8699999999999992</v>
      </c>
      <c r="CI188" s="14"/>
      <c r="CJ188" s="17">
        <f t="shared" si="156"/>
        <v>-5.160000000000001</v>
      </c>
      <c r="CK188" s="17">
        <f t="shared" si="157"/>
        <v>-2.3499999999999996</v>
      </c>
      <c r="CL188" s="17">
        <f t="shared" si="158"/>
        <v>3.26</v>
      </c>
      <c r="CM188" s="38">
        <f t="shared" si="173"/>
        <v>6.07</v>
      </c>
      <c r="CN188" s="17">
        <f t="shared" si="159"/>
        <v>11.68</v>
      </c>
      <c r="CO188" s="17">
        <f t="shared" si="160"/>
        <v>14.49</v>
      </c>
      <c r="CP188" s="17">
        <f t="shared" si="161"/>
        <v>20.100000000000001</v>
      </c>
      <c r="CQ188" s="2" cm="1">
        <f t="array" aca="1" ref="CQ188" ca="1">MAX(_xlfn._xlws.FILTER(CJ188:CP188,CJ188:CP188&lt;BL188))</f>
        <v>6.07</v>
      </c>
      <c r="CR188" s="2" cm="1">
        <f t="array" aca="1" ref="CR188" ca="1">MIN(_xlfn._xlws.FILTER($CJ188:$CP188,$CJ188:$CP188&gt;BL188))</f>
        <v>11.68</v>
      </c>
      <c r="CS188" s="16">
        <f t="shared" ca="1" si="209"/>
        <v>0.92421746293245466</v>
      </c>
      <c r="CT188" s="20">
        <f t="shared" ca="1" si="210"/>
        <v>-0.46210873146622733</v>
      </c>
      <c r="CU188" s="20">
        <f t="shared" ca="1" si="211"/>
        <v>-0.30807248764415157</v>
      </c>
      <c r="CV188" s="20">
        <f t="shared" ca="1" si="212"/>
        <v>-0.18484349258649094</v>
      </c>
      <c r="CW188" s="20">
        <f t="shared" ca="1" si="213"/>
        <v>-0.10269082921471719</v>
      </c>
      <c r="CX188" s="20">
        <f t="shared" ca="1" si="214"/>
        <v>-5.4365733113673806E-2</v>
      </c>
      <c r="CY188" s="20">
        <f t="shared" ca="1" si="215"/>
        <v>-2.800658978583196E-2</v>
      </c>
      <c r="CZ188" s="20">
        <f t="shared" ca="1" si="216"/>
        <v>-1.4218730198960841E-2</v>
      </c>
      <c r="DA188" s="21">
        <f t="shared" ca="1" si="217"/>
        <v>1.4218730198960841E-2</v>
      </c>
      <c r="DB188" s="21">
        <f t="shared" ca="1" si="218"/>
        <v>2.800658978583196E-2</v>
      </c>
      <c r="DC188" s="21">
        <f t="shared" ca="1" si="219"/>
        <v>5.4365733113673806E-2</v>
      </c>
      <c r="DD188" s="21">
        <f t="shared" ca="1" si="220"/>
        <v>0.10269082921471719</v>
      </c>
      <c r="DE188" s="21">
        <f t="shared" ca="1" si="221"/>
        <v>0.18484349258649094</v>
      </c>
      <c r="DF188" s="21">
        <f t="shared" ca="1" si="222"/>
        <v>0.30807248764415157</v>
      </c>
      <c r="DG188" s="21">
        <f t="shared" ca="1" si="223"/>
        <v>0.46210873146622733</v>
      </c>
      <c r="DI188" s="16" cm="1">
        <f t="array" aca="1" ref="DI188" ca="1">MAX(_xlfn._xlws.FILTER(CT188:DG188,CT188:DG188&lt;BR188))</f>
        <v>-1.4218730198960841E-2</v>
      </c>
      <c r="DJ188" s="16" cm="1">
        <f t="array" aca="1" ref="DJ188" ca="1">MIN(_xlfn._xlws.FILTER(CT188:DG188,CT188:DG188&gt;BR188))</f>
        <v>1.4218730198960841E-2</v>
      </c>
      <c r="DK188" s="2" cm="1">
        <f t="array" aca="1" ref="DK188" ca="1">_FV(EC188,"Fechamento anterior",TRUE)</f>
        <v>8.8800000000000008</v>
      </c>
      <c r="DL188" s="28">
        <f t="shared" ca="1" si="162"/>
        <v>0.46039990525284019</v>
      </c>
      <c r="DM188" s="15">
        <f t="shared" ca="1" si="224"/>
        <v>8.7537376758332286</v>
      </c>
      <c r="DN188" s="15">
        <f t="shared" ca="1" si="225"/>
        <v>9.006262324166773</v>
      </c>
      <c r="DO188" s="9"/>
      <c r="DP188" s="9"/>
      <c r="DQ188" s="9"/>
      <c r="DR188" s="89">
        <v>2.6639676113360315E-2</v>
      </c>
      <c r="DS188" s="89">
        <v>2.8437460397921683E-2</v>
      </c>
      <c r="DT188" s="89">
        <v>2.8437460397921683E-2</v>
      </c>
      <c r="DU188" s="89">
        <v>2.8437460397921683E-2</v>
      </c>
      <c r="DV188" s="89">
        <f t="shared" ca="1" si="163"/>
        <v>2.8437460397921683E-2</v>
      </c>
      <c r="DW188" s="72" t="e">
        <f t="shared" ca="1" si="164"/>
        <v>#DIV/0!</v>
      </c>
      <c r="DX188" s="37"/>
      <c r="DY188" s="35">
        <f t="shared" si="174"/>
        <v>0</v>
      </c>
      <c r="DZ188" s="56"/>
      <c r="EA188" s="56"/>
      <c r="EC188" s="2" t="e" vm="190">
        <v>#VALUE!</v>
      </c>
      <c r="EE188" s="10" cm="1">
        <f t="array" aca="1" ref="EE188" ca="1">_FV(EC188,"Ações em circulação",TRUE)</f>
        <v>77334810</v>
      </c>
      <c r="EF188" s="18">
        <f>VLOOKUP(BM188,Fundamentus!A:U,5,FALSE)</f>
        <v>0.30299999999999999</v>
      </c>
      <c r="EG188" s="2">
        <f t="shared" ca="1" si="165"/>
        <v>2263893612.8712869</v>
      </c>
      <c r="EH188" s="17">
        <v>-245632456.99653462</v>
      </c>
      <c r="EI188" s="17">
        <f t="shared" ca="1" si="166"/>
        <v>-245632456.99653462</v>
      </c>
      <c r="EK188" s="16">
        <f t="shared" ca="1" si="153"/>
        <v>0</v>
      </c>
      <c r="EL188" s="32" t="str">
        <f>IF(VLOOKUP(BM188,Fundamentus!A:U,3,FALSE)&lt;15,"Bom",IF(VLOOKUP(BM188,Fundamentus!A:U,3,FALSE)&gt;15,"Ruim","n/a"))</f>
        <v>Bom</v>
      </c>
      <c r="EM188" s="28" t="str">
        <f>IF(VLOOKUP(BM188,Fundamentus!A:U,4,FALSE)&lt;1,"Baixo",IF(VLOOKUP(BM188,Fundamentus!A:U,4,FALSE)&lt;1.5,"Moderado",IF(VLOOKUP(BM188,Fundamentus!A:U,4,FALSE)&gt;1.5,"Alto","n/a")))</f>
        <v>Baixo</v>
      </c>
      <c r="EN188" s="17" t="str">
        <f>IF(VLOOKUP(BM188,Fundamentus!A:U,8,FALSE)&lt;0,"Risco elevado",IF(VLOOKUP(BM188,Fundamentus!A:U,8,FALSE)&lt;1,"Saudável",IF(VLOOKUP(BM188,Fundamentus!A:U,8,FALSE)&lt;3,"Estável",IF(VLOOKUP(BM188,Fundamentus!A:U,8,FALSE)&gt;3,"Alerta","n/a"))))</f>
        <v>Estável</v>
      </c>
      <c r="EO188" s="28" t="str">
        <f t="shared" si="167"/>
        <v>Ruim</v>
      </c>
      <c r="EP188" s="17" t="str">
        <f>IF(VLOOKUP(BM188,Fundamentus!A:U,12,FALSE)&lt;2,"Subvalorizada",IF(VLOOKUP(BM188,Fundamentus!A:U,12,FALSE)&lt;6,"Muita barata",IF(VLOOKUP(BM188,Fundamentus!A:U,12,FALSE)&lt;6,"Barata",IF(VLOOKUP(BM188,Fundamentus!A:U,12,FALSE)&lt;8,"Atrativa",IF(VLOOKUP(BM188,Fundamentus!A:U,12,FALSE)&gt;8,"Supervalorizada","n/a")))))</f>
        <v>Supervalorizada</v>
      </c>
      <c r="ER188" s="17" t="str">
        <f>IF(VLOOKUP(BM188,Fundamentus!A:U,17,FALSE)&lt;0.1,"Fraco retorno",IF(VLOOKUP(BM188,Fundamentus!A:U,17,FALSE)&gt;0.1,"Bom retorno","n/a"))</f>
        <v>Fraco retorno</v>
      </c>
      <c r="ES188" s="17" t="str">
        <f>IF(VLOOKUP(BM188,Fundamentus!A:U,16,FALSE)&lt;0.1,"Ineficiente",IF(VLOOKUP(BM188,Fundamentus!A:U,16,FALSE)&gt;0.1,"Eficiente","n/a"))</f>
        <v>Ineficiente</v>
      </c>
      <c r="ET188" s="33" t="str">
        <f>IF(VLOOKUP(BM188,Fundamentus!A:U,16,FALSE)&lt;0.1,"Oper. Ineficiente",IF(VLOOKUP(BM188,Fundamentus!A:U,16,FALSE)&gt;0.1,"Oper.Eficiente","n/a"))</f>
        <v>Oper. Ineficiente</v>
      </c>
      <c r="EU188" s="34">
        <f>VLOOKUP(BM188,Fundamentus!A:U,14,FALSE)</f>
        <v>-0.1085</v>
      </c>
      <c r="EV188" s="17" t="str">
        <f>IF(VLOOKUP(BM188,Fundamentus!A:U,21,FALSE)&lt;0,"Negativo",IF(VLOOKUP(BM188,Fundamentus!A:U,21,FALSE)&lt;0.05,"Fraco",IF(VLOOKUP(BM188,Fundamentus!A:U,21,FALSE)&lt;0.1,"Bom",IF(VLOOKUP(BM188,Fundamentus!A:U,21,FALSE)&gt;0.1,"Muito bom","n/a"))))</f>
        <v>Muito bom</v>
      </c>
      <c r="EX188" s="29" t="str">
        <f>IF(VLOOKUP(BM188,Fundamentus!A:U,15,FALSE)&gt;1,"Bom",IF(VLOOKUP(BM188,Fundamentus!A:U,15,FALSE)&lt;1,"Ruim","n/a"))</f>
        <v>Bom</v>
      </c>
      <c r="EY188" s="17" t="str">
        <f>IF(VLOOKUP(BM188,Fundamentus!A:U,20,FALSE)&lt;0.5,"Baixa",IF(VLOOKUP(BM188,Fundamentus!A:U,20,FALSE)&lt;1,"Moderada",IF(VLOOKUP(BM188,Fundamentus!A:U,20,FALSE)&lt;2,"Alerta",IF(VLOOKUP(BM188,Fundamentus!A:U,20,FALSE)&gt;2,"Alta","n/a"))))</f>
        <v>Alta</v>
      </c>
      <c r="EZ188" s="10"/>
    </row>
    <row r="189" spans="1:156" s="2" customFormat="1" ht="11.25" x14ac:dyDescent="0.2">
      <c r="A189" s="4">
        <v>2.2200000000000002</v>
      </c>
      <c r="B189" s="4">
        <v>2.15</v>
      </c>
      <c r="C189" s="4">
        <v>2.11</v>
      </c>
      <c r="D189" s="4">
        <v>2.16</v>
      </c>
      <c r="E189" s="4">
        <v>2.15</v>
      </c>
      <c r="F189" s="4">
        <v>2.1</v>
      </c>
      <c r="G189" s="4">
        <v>2.04</v>
      </c>
      <c r="H189" s="4">
        <v>2.0499999999999998</v>
      </c>
      <c r="I189" s="4">
        <v>2.0299999999999998</v>
      </c>
      <c r="J189" s="4">
        <v>2.09</v>
      </c>
      <c r="K189" s="4">
        <v>2.06</v>
      </c>
      <c r="L189" s="4">
        <v>2.06</v>
      </c>
      <c r="M189" s="4">
        <v>2</v>
      </c>
      <c r="N189" s="4">
        <v>1.99</v>
      </c>
      <c r="O189" s="4">
        <v>1.95</v>
      </c>
      <c r="P189" s="4">
        <v>2.16</v>
      </c>
      <c r="Q189" s="4">
        <v>2.15</v>
      </c>
      <c r="R189" s="4">
        <v>2.13</v>
      </c>
      <c r="S189" s="4">
        <v>2.2200000000000002</v>
      </c>
      <c r="T189" s="4">
        <v>2.2799999999999998</v>
      </c>
      <c r="U189" s="4">
        <v>2.27</v>
      </c>
      <c r="V189" s="4">
        <v>2.2200000000000002</v>
      </c>
      <c r="W189" s="4">
        <v>2.35</v>
      </c>
      <c r="X189" s="4">
        <v>2.34</v>
      </c>
      <c r="Y189" s="4">
        <v>2.81</v>
      </c>
      <c r="Z189" s="4">
        <v>2.84</v>
      </c>
      <c r="AA189" s="4">
        <v>2.71</v>
      </c>
      <c r="AB189" s="4">
        <v>2.68</v>
      </c>
      <c r="AC189" s="4">
        <v>2.4700000000000002</v>
      </c>
      <c r="AD189" s="4">
        <v>2.36</v>
      </c>
      <c r="AE189" s="4">
        <v>2.17</v>
      </c>
      <c r="AF189" s="4">
        <v>2.13</v>
      </c>
      <c r="AG189" s="4">
        <v>2.11</v>
      </c>
      <c r="AH189" s="4">
        <v>1.9</v>
      </c>
      <c r="AI189" s="4">
        <v>1.92</v>
      </c>
      <c r="AJ189" s="4">
        <v>1.83</v>
      </c>
      <c r="AK189" s="4">
        <v>1.87</v>
      </c>
      <c r="AL189" s="4">
        <v>1.92</v>
      </c>
      <c r="AM189" s="4">
        <v>1.91</v>
      </c>
      <c r="AN189" s="4">
        <v>2.21</v>
      </c>
      <c r="AO189" s="4">
        <v>2.21</v>
      </c>
      <c r="AP189" s="4">
        <v>1.8</v>
      </c>
      <c r="AQ189" s="4">
        <v>1.65</v>
      </c>
      <c r="AR189" s="4">
        <v>1.56</v>
      </c>
      <c r="AS189" s="4">
        <v>1.67</v>
      </c>
      <c r="AT189" s="4">
        <v>1.74</v>
      </c>
      <c r="AU189" s="4">
        <v>1.7150000000000001</v>
      </c>
      <c r="AV189" s="4">
        <v>1.74</v>
      </c>
      <c r="AW189" s="4">
        <v>1.66</v>
      </c>
      <c r="AX189" s="4">
        <v>1.68</v>
      </c>
      <c r="AY189" s="12">
        <v>1.67</v>
      </c>
      <c r="AZ189" s="12">
        <v>1.68</v>
      </c>
      <c r="BA189" s="12">
        <v>1.67</v>
      </c>
      <c r="BB189" s="15">
        <v>1.64</v>
      </c>
      <c r="BC189" s="52">
        <v>1.62</v>
      </c>
      <c r="BD189" s="52">
        <v>1.59</v>
      </c>
      <c r="BE189" s="52">
        <v>1.68</v>
      </c>
      <c r="BF189" s="52">
        <v>1.57</v>
      </c>
      <c r="BG189" s="67">
        <v>1.59</v>
      </c>
      <c r="BH189" s="52">
        <v>1.59</v>
      </c>
      <c r="BI189" s="52">
        <v>1.58</v>
      </c>
      <c r="BJ189" s="52">
        <v>1.58</v>
      </c>
      <c r="BK189" s="52">
        <v>1.57</v>
      </c>
      <c r="BL189" s="52" cm="1">
        <f t="array" aca="1" ref="BL189" ca="1">_FV(EC189,"Preço")</f>
        <v>1.57</v>
      </c>
      <c r="BM189" s="69" t="s">
        <v>185</v>
      </c>
      <c r="BN189" s="36" cm="1">
        <f t="array" aca="1" ref="BN189" ca="1">_FV(EC189,"Média de volume",TRUE)</f>
        <v>6950</v>
      </c>
      <c r="BO189" s="36">
        <v>1100</v>
      </c>
      <c r="BP189" s="36" cm="1">
        <f t="array" aca="1" ref="BP189" ca="1">_FV(EC189,"Volume")</f>
        <v>1100</v>
      </c>
      <c r="BQ189" s="24" cm="1">
        <f t="array" aca="1" ref="BQ189" ca="1">_FV(EC189,"Beta")</f>
        <v>0.87960000000000005</v>
      </c>
      <c r="BR189" s="71" cm="1">
        <f t="array" aca="1" ref="BR189" ca="1">_FV(EC189,"Variação (%)",TRUE)</f>
        <v>6.4099999999999999E-3</v>
      </c>
      <c r="BT189" s="17" cm="1">
        <f t="array" aca="1" ref="BT189" ca="1">_FV(EC189,"Baixo")</f>
        <v>1.55</v>
      </c>
      <c r="BU189" s="17" cm="1">
        <f t="array" aca="1" ref="BU189" ca="1">_FV(EC189,"Alto")</f>
        <v>1.57</v>
      </c>
      <c r="BV189" s="24"/>
      <c r="BW189" s="63">
        <f ca="1">SQRT(22.5*(BL189/VLOOKUP(BM189,Fundamentus!A:U,3,FALSE))*(BL189/VLOOKUP(BM189,Fundamentus!A:U,4,FALSE)))</f>
        <v>0.14917406749766893</v>
      </c>
      <c r="BY189" s="62">
        <f t="shared" ca="1" si="168"/>
        <v>0</v>
      </c>
      <c r="BZ189" s="8"/>
      <c r="CA189" s="61">
        <f t="shared" si="169"/>
        <v>1.56</v>
      </c>
      <c r="CB189" s="61">
        <f t="shared" si="170"/>
        <v>2.84</v>
      </c>
      <c r="CC189" s="61">
        <f t="shared" si="171"/>
        <v>1.9932539682539685</v>
      </c>
      <c r="CD189" s="14"/>
      <c r="CE189" s="35">
        <f t="shared" si="154"/>
        <v>1.5606700683814436</v>
      </c>
      <c r="CF189" s="15">
        <f t="shared" si="172"/>
        <v>1.5769999999999982</v>
      </c>
      <c r="CG189" s="35">
        <f t="shared" si="155"/>
        <v>1.5933299316185527</v>
      </c>
      <c r="CI189" s="14"/>
      <c r="CJ189" s="17">
        <f t="shared" si="156"/>
        <v>-0.13333333333333286</v>
      </c>
      <c r="CK189" s="17">
        <f t="shared" si="157"/>
        <v>0.7133333333333336</v>
      </c>
      <c r="CL189" s="17">
        <f t="shared" si="158"/>
        <v>1.1466666666666669</v>
      </c>
      <c r="CM189" s="38">
        <f t="shared" si="173"/>
        <v>1.9933333333333334</v>
      </c>
      <c r="CN189" s="17">
        <f t="shared" si="159"/>
        <v>2.4266666666666667</v>
      </c>
      <c r="CO189" s="17">
        <f t="shared" si="160"/>
        <v>3.2733333333333334</v>
      </c>
      <c r="CP189" s="17">
        <f t="shared" si="161"/>
        <v>3.7066666666666666</v>
      </c>
      <c r="CQ189" s="2" cm="1">
        <f t="array" aca="1" ref="CQ189" ca="1">MAX(_xlfn._xlws.FILTER(CJ189:CP189,CJ189:CP189&lt;BL189))</f>
        <v>1.1466666666666669</v>
      </c>
      <c r="CR189" s="2" cm="1">
        <f t="array" aca="1" ref="CR189" ca="1">MIN(_xlfn._xlws.FILTER($CJ189:$CP189,$CJ189:$CP189&gt;BL189))</f>
        <v>1.9933333333333334</v>
      </c>
      <c r="CS189" s="16">
        <f t="shared" ca="1" si="209"/>
        <v>0.73837209302325535</v>
      </c>
      <c r="CT189" s="20">
        <f t="shared" ca="1" si="210"/>
        <v>-0.36918604651162767</v>
      </c>
      <c r="CU189" s="20">
        <f t="shared" ca="1" si="211"/>
        <v>-0.24612403100775179</v>
      </c>
      <c r="CV189" s="20">
        <f t="shared" ca="1" si="212"/>
        <v>-0.14767441860465108</v>
      </c>
      <c r="CW189" s="20">
        <f t="shared" ca="1" si="213"/>
        <v>-8.2041343669250588E-2</v>
      </c>
      <c r="CX189" s="20">
        <f t="shared" ca="1" si="214"/>
        <v>-4.3433652530779729E-2</v>
      </c>
      <c r="CY189" s="20">
        <f t="shared" ca="1" si="215"/>
        <v>-2.2374911909795618E-2</v>
      </c>
      <c r="CZ189" s="20">
        <f t="shared" ca="1" si="216"/>
        <v>-1.1359570661896237E-2</v>
      </c>
      <c r="DA189" s="21">
        <f t="shared" ca="1" si="217"/>
        <v>1.1359570661896237E-2</v>
      </c>
      <c r="DB189" s="21">
        <f t="shared" ca="1" si="218"/>
        <v>2.2374911909795618E-2</v>
      </c>
      <c r="DC189" s="21">
        <f t="shared" ca="1" si="219"/>
        <v>4.3433652530779729E-2</v>
      </c>
      <c r="DD189" s="21">
        <f t="shared" ca="1" si="220"/>
        <v>8.2041343669250588E-2</v>
      </c>
      <c r="DE189" s="21">
        <f t="shared" ca="1" si="221"/>
        <v>0.14767441860465108</v>
      </c>
      <c r="DF189" s="21">
        <f t="shared" ca="1" si="222"/>
        <v>0.24612403100775179</v>
      </c>
      <c r="DG189" s="21">
        <f t="shared" ca="1" si="223"/>
        <v>0.36918604651162767</v>
      </c>
      <c r="DI189" s="16" cm="1">
        <f t="array" aca="1" ref="DI189" ca="1">MAX(_xlfn._xlws.FILTER(CT189:DG189,CT189:DG189&lt;BR189))</f>
        <v>-1.1359570661896237E-2</v>
      </c>
      <c r="DJ189" s="16" cm="1">
        <f t="array" aca="1" ref="DJ189" ca="1">MIN(_xlfn._xlws.FILTER(CT189:DG189,CT189:DG189&gt;BR189))</f>
        <v>1.1359570661896237E-2</v>
      </c>
      <c r="DK189" s="2" cm="1">
        <f t="array" aca="1" ref="DK189" ca="1">_FV(EC189,"Fechamento anterior",TRUE)</f>
        <v>1.56</v>
      </c>
      <c r="DL189" s="28">
        <f t="shared" ca="1" si="162"/>
        <v>0.78215223097113029</v>
      </c>
      <c r="DM189" s="15">
        <f t="shared" ca="1" si="224"/>
        <v>1.542279069767442</v>
      </c>
      <c r="DN189" s="15">
        <f t="shared" ca="1" si="225"/>
        <v>1.5777209302325581</v>
      </c>
      <c r="DO189" s="9"/>
      <c r="DP189" s="9"/>
      <c r="DQ189" s="9"/>
      <c r="DR189" s="89">
        <v>2.1472053126729382E-2</v>
      </c>
      <c r="DS189" s="89">
        <v>1.0908551949014368E-2</v>
      </c>
      <c r="DT189" s="89">
        <v>2.2719141323792474E-2</v>
      </c>
      <c r="DU189" s="89">
        <v>2.2719141323792474E-2</v>
      </c>
      <c r="DV189" s="89">
        <f t="shared" ca="1" si="163"/>
        <v>2.2719141323792474E-2</v>
      </c>
      <c r="DW189" s="72">
        <f t="shared" ca="1" si="164"/>
        <v>-0.42866070498693992</v>
      </c>
      <c r="DX189" s="37"/>
      <c r="DY189" s="35">
        <f t="shared" si="174"/>
        <v>8.1649658092772682E-3</v>
      </c>
      <c r="DZ189" s="56"/>
      <c r="EA189" s="56"/>
      <c r="EC189" s="2" t="e" vm="191">
        <v>#VALUE!</v>
      </c>
      <c r="EE189" s="10" cm="1">
        <f t="array" aca="1" ref="EE189" ca="1">_FV(EC189,"Ações em circulação",TRUE)</f>
        <v>260509800</v>
      </c>
      <c r="EF189" s="18">
        <f>VLOOKUP(BM189,Fundamentus!A:U,5,FALSE)</f>
        <v>0.26900000000000002</v>
      </c>
      <c r="EG189" s="2">
        <f t="shared" ca="1" si="165"/>
        <v>1520447531.5985129</v>
      </c>
      <c r="EH189" s="17">
        <v>71917168.244609669</v>
      </c>
      <c r="EI189" s="17">
        <f t="shared" ca="1" si="166"/>
        <v>71917168.244609669</v>
      </c>
      <c r="EK189" s="16">
        <f t="shared" ca="1" si="153"/>
        <v>0</v>
      </c>
      <c r="EL189" s="32" t="str">
        <f>IF(VLOOKUP(BM189,Fundamentus!A:U,3,FALSE)&lt;15,"Bom",IF(VLOOKUP(BM189,Fundamentus!A:U,3,FALSE)&gt;15,"Ruim","n/a"))</f>
        <v>Bom</v>
      </c>
      <c r="EM189" s="28" t="str">
        <f>IF(VLOOKUP(BM189,Fundamentus!A:U,4,FALSE)&lt;1,"Baixo",IF(VLOOKUP(BM189,Fundamentus!A:U,4,FALSE)&lt;1.5,"Moderado",IF(VLOOKUP(BM189,Fundamentus!A:U,4,FALSE)&gt;1.5,"Alto","n/a")))</f>
        <v>Alto</v>
      </c>
      <c r="EN189" s="17" t="str">
        <f>IF(VLOOKUP(BM189,Fundamentus!A:U,8,FALSE)&lt;0,"Risco elevado",IF(VLOOKUP(BM189,Fundamentus!A:U,8,FALSE)&lt;1,"Saudável",IF(VLOOKUP(BM189,Fundamentus!A:U,8,FALSE)&lt;3,"Estável",IF(VLOOKUP(BM189,Fundamentus!A:U,8,FALSE)&gt;3,"Alerta","n/a"))))</f>
        <v>Risco elevado</v>
      </c>
      <c r="EO189" s="28" t="str">
        <f t="shared" si="167"/>
        <v>Ruim</v>
      </c>
      <c r="EP189" s="17" t="str">
        <f>IF(VLOOKUP(BM189,Fundamentus!A:U,12,FALSE)&lt;2,"Subvalorizada",IF(VLOOKUP(BM189,Fundamentus!A:U,12,FALSE)&lt;6,"Muita barata",IF(VLOOKUP(BM189,Fundamentus!A:U,12,FALSE)&lt;6,"Barata",IF(VLOOKUP(BM189,Fundamentus!A:U,12,FALSE)&lt;8,"Atrativa",IF(VLOOKUP(BM189,Fundamentus!A:U,12,FALSE)&gt;8,"Supervalorizada","n/a")))))</f>
        <v>Muita barata</v>
      </c>
      <c r="ER189" s="17" t="str">
        <f>IF(VLOOKUP(BM189,Fundamentus!A:U,17,FALSE)&lt;0.1,"Fraco retorno",IF(VLOOKUP(BM189,Fundamentus!A:U,17,FALSE)&gt;0.1,"Bom retorno","n/a"))</f>
        <v>Bom retorno</v>
      </c>
      <c r="ES189" s="17" t="str">
        <f>IF(VLOOKUP(BM189,Fundamentus!A:U,16,FALSE)&lt;0.1,"Ineficiente",IF(VLOOKUP(BM189,Fundamentus!A:U,16,FALSE)&gt;0.1,"Eficiente","n/a"))</f>
        <v>Eficiente</v>
      </c>
      <c r="ET189" s="33" t="str">
        <f>IF(VLOOKUP(BM189,Fundamentus!A:U,16,FALSE)&lt;0.1,"Oper. Ineficiente",IF(VLOOKUP(BM189,Fundamentus!A:U,16,FALSE)&gt;0.1,"Oper.Eficiente","n/a"))</f>
        <v>Oper.Eficiente</v>
      </c>
      <c r="EU189" s="34">
        <f>VLOOKUP(BM189,Fundamentus!A:U,14,FALSE)</f>
        <v>4.7300000000000002E-2</v>
      </c>
      <c r="EV189" s="17" t="str">
        <f>IF(VLOOKUP(BM189,Fundamentus!A:U,21,FALSE)&lt;0,"Negativo",IF(VLOOKUP(BM189,Fundamentus!A:U,21,FALSE)&lt;0.05,"Fraco",IF(VLOOKUP(BM189,Fundamentus!A:U,21,FALSE)&lt;0.1,"Bom",IF(VLOOKUP(BM189,Fundamentus!A:U,21,FALSE)&gt;0.1,"Muito bom","n/a"))))</f>
        <v>Muito bom</v>
      </c>
      <c r="EX189" s="29" t="str">
        <f>IF(VLOOKUP(BM189,Fundamentus!A:U,15,FALSE)&gt;1,"Bom",IF(VLOOKUP(BM189,Fundamentus!A:U,15,FALSE)&lt;1,"Ruim","n/a"))</f>
        <v>Ruim</v>
      </c>
      <c r="EY189" s="17" t="str">
        <f>IF(VLOOKUP(BM189,Fundamentus!A:U,20,FALSE)&lt;0.5,"Baixa",IF(VLOOKUP(BM189,Fundamentus!A:U,20,FALSE)&lt;1,"Moderada",IF(VLOOKUP(BM189,Fundamentus!A:U,20,FALSE)&lt;2,"Alerta",IF(VLOOKUP(BM189,Fundamentus!A:U,20,FALSE)&gt;2,"Alta","n/a"))))</f>
        <v>Alta</v>
      </c>
      <c r="EZ189" s="10"/>
    </row>
    <row r="190" spans="1:156" s="2" customFormat="1" ht="11.25" x14ac:dyDescent="0.2">
      <c r="A190" s="4">
        <v>7.15</v>
      </c>
      <c r="B190" s="4">
        <v>6.89</v>
      </c>
      <c r="C190" s="4">
        <v>6.72</v>
      </c>
      <c r="D190" s="4">
        <v>6.63</v>
      </c>
      <c r="E190" s="4">
        <v>6.2</v>
      </c>
      <c r="F190" s="4">
        <v>6.28</v>
      </c>
      <c r="G190" s="4">
        <v>6.13</v>
      </c>
      <c r="H190" s="4">
        <v>5.89</v>
      </c>
      <c r="I190" s="4">
        <v>5.91</v>
      </c>
      <c r="J190" s="4">
        <v>6.23</v>
      </c>
      <c r="K190" s="4">
        <v>6.33</v>
      </c>
      <c r="L190" s="4">
        <v>5.9</v>
      </c>
      <c r="M190" s="4">
        <v>5.61</v>
      </c>
      <c r="N190" s="4">
        <v>6.07</v>
      </c>
      <c r="O190" s="4">
        <v>6.2</v>
      </c>
      <c r="P190" s="4">
        <v>5.83</v>
      </c>
      <c r="Q190" s="4">
        <v>6.09</v>
      </c>
      <c r="R190" s="4">
        <v>5.86</v>
      </c>
      <c r="S190" s="4">
        <v>5.83</v>
      </c>
      <c r="T190" s="4">
        <v>5.82</v>
      </c>
      <c r="U190" s="4">
        <v>5.79</v>
      </c>
      <c r="V190" s="4">
        <v>5.75</v>
      </c>
      <c r="W190" s="4">
        <v>5.67</v>
      </c>
      <c r="X190" s="4">
        <v>5.6</v>
      </c>
      <c r="Y190" s="4">
        <v>5.22</v>
      </c>
      <c r="Z190" s="4">
        <v>5.21</v>
      </c>
      <c r="AA190" s="4">
        <v>5.21</v>
      </c>
      <c r="AB190" s="4">
        <v>5.3</v>
      </c>
      <c r="AC190" s="4">
        <v>5.15</v>
      </c>
      <c r="AD190" s="4">
        <v>5.61</v>
      </c>
      <c r="AE190" s="4">
        <v>6.17</v>
      </c>
      <c r="AF190" s="4">
        <v>5.94</v>
      </c>
      <c r="AG190" s="4">
        <v>5.6</v>
      </c>
      <c r="AH190" s="4">
        <v>5.08</v>
      </c>
      <c r="AI190" s="4">
        <v>5.14</v>
      </c>
      <c r="AJ190" s="4">
        <v>5.07</v>
      </c>
      <c r="AK190" s="4">
        <v>4.9800000000000004</v>
      </c>
      <c r="AL190" s="4">
        <v>5.01</v>
      </c>
      <c r="AM190" s="4">
        <v>5.15</v>
      </c>
      <c r="AN190" s="4">
        <v>5.25</v>
      </c>
      <c r="AO190" s="4">
        <v>5.18</v>
      </c>
      <c r="AP190" s="4">
        <v>5.44</v>
      </c>
      <c r="AQ190" s="4">
        <v>5.49</v>
      </c>
      <c r="AR190" s="4">
        <v>5.4</v>
      </c>
      <c r="AS190" s="4">
        <v>5.32</v>
      </c>
      <c r="AT190" s="4">
        <v>4.99</v>
      </c>
      <c r="AU190" s="4">
        <v>4.9700000000000006</v>
      </c>
      <c r="AV190" s="4">
        <v>4.93</v>
      </c>
      <c r="AW190" s="4">
        <v>4.75</v>
      </c>
      <c r="AX190" s="4">
        <v>4.55</v>
      </c>
      <c r="AY190" s="12">
        <v>4.59</v>
      </c>
      <c r="AZ190" s="12">
        <v>4.68</v>
      </c>
      <c r="BA190" s="12">
        <v>4.5199999999999996</v>
      </c>
      <c r="BB190" s="15">
        <v>4.54</v>
      </c>
      <c r="BC190" s="52">
        <v>4.54</v>
      </c>
      <c r="BD190" s="52">
        <v>4.37</v>
      </c>
      <c r="BE190" s="52">
        <v>4.29</v>
      </c>
      <c r="BF190" s="52">
        <v>4.08</v>
      </c>
      <c r="BG190" s="67">
        <v>4.03</v>
      </c>
      <c r="BH190" s="52">
        <v>4.01</v>
      </c>
      <c r="BI190" s="52">
        <v>4.01</v>
      </c>
      <c r="BJ190" s="52">
        <v>4.07</v>
      </c>
      <c r="BK190" s="52">
        <v>3.91</v>
      </c>
      <c r="BL190" s="52" cm="1">
        <f t="array" aca="1" ref="BL190" ca="1">_FV(EC190,"Preço")</f>
        <v>3.91</v>
      </c>
      <c r="BM190" s="69" t="s">
        <v>186</v>
      </c>
      <c r="BN190" s="36" cm="1">
        <f t="array" aca="1" ref="BN190" ca="1">_FV(EC190,"Média de volume",TRUE)</f>
        <v>94590</v>
      </c>
      <c r="BO190" s="36">
        <v>53400</v>
      </c>
      <c r="BP190" s="36" cm="1">
        <f t="array" aca="1" ref="BP190" ca="1">_FV(EC190,"Volume")</f>
        <v>53400</v>
      </c>
      <c r="BQ190" s="24" cm="1">
        <f t="array" aca="1" ref="BQ190" ca="1">_FV(EC190,"Beta")</f>
        <v>1.8535999999999999</v>
      </c>
      <c r="BR190" s="71" cm="1">
        <f t="array" aca="1" ref="BR190" ca="1">_FV(EC190,"Variação (%)",TRUE)</f>
        <v>0</v>
      </c>
      <c r="BT190" s="17" cm="1">
        <f t="array" aca="1" ref="BT190" ca="1">_FV(EC190,"Baixo")</f>
        <v>3.88</v>
      </c>
      <c r="BU190" s="17" cm="1">
        <f t="array" aca="1" ref="BU190" ca="1">_FV(EC190,"Alto")</f>
        <v>3.95</v>
      </c>
      <c r="BV190" s="24"/>
      <c r="BW190" s="63">
        <f ca="1">SQRT(22.5*(BL190/VLOOKUP(BM190,Fundamentus!A:U,3,FALSE))*(BL190/VLOOKUP(BM190,Fundamentus!A:U,4,FALSE)))</f>
        <v>11.128411200988888</v>
      </c>
      <c r="BY190" s="62">
        <f t="shared" ca="1" si="168"/>
        <v>0</v>
      </c>
      <c r="BZ190" s="8"/>
      <c r="CA190" s="61">
        <f t="shared" si="169"/>
        <v>3.91</v>
      </c>
      <c r="CB190" s="61">
        <f t="shared" si="170"/>
        <v>7.15</v>
      </c>
      <c r="CC190" s="61">
        <f t="shared" si="171"/>
        <v>5.3671428571428583</v>
      </c>
      <c r="CD190" s="14"/>
      <c r="CE190" s="35">
        <f t="shared" si="154"/>
        <v>3.8769944946310213</v>
      </c>
      <c r="CF190" s="15">
        <f t="shared" si="172"/>
        <v>3.9879999999999995</v>
      </c>
      <c r="CG190" s="35">
        <f t="shared" si="155"/>
        <v>4.0990055053689778</v>
      </c>
      <c r="CI190" s="14"/>
      <c r="CJ190" s="17">
        <f t="shared" si="156"/>
        <v>-0.30333333333333279</v>
      </c>
      <c r="CK190" s="17">
        <f t="shared" si="157"/>
        <v>1.8033333333333337</v>
      </c>
      <c r="CL190" s="17">
        <f t="shared" si="158"/>
        <v>2.9366666666666674</v>
      </c>
      <c r="CM190" s="38">
        <f t="shared" si="173"/>
        <v>5.0433333333333339</v>
      </c>
      <c r="CN190" s="17">
        <f t="shared" si="159"/>
        <v>6.1766666666666676</v>
      </c>
      <c r="CO190" s="17">
        <f t="shared" si="160"/>
        <v>8.283333333333335</v>
      </c>
      <c r="CP190" s="17">
        <f t="shared" si="161"/>
        <v>9.4166666666666679</v>
      </c>
      <c r="CQ190" s="2" cm="1">
        <f t="array" aca="1" ref="CQ190" ca="1">MAX(_xlfn._xlws.FILTER(CJ190:CP190,CJ190:CP190&lt;BL190))</f>
        <v>2.9366666666666674</v>
      </c>
      <c r="CR190" s="2" cm="1">
        <f t="array" aca="1" ref="CR190" ca="1">MIN(_xlfn._xlws.FILTER($CJ190:$CP190,$CJ190:$CP190&gt;BL190))</f>
        <v>5.0433333333333339</v>
      </c>
      <c r="CS190" s="16">
        <f t="shared" ca="1" si="209"/>
        <v>0.71736662883087376</v>
      </c>
      <c r="CT190" s="20">
        <f t="shared" ca="1" si="210"/>
        <v>-0.35868331441543688</v>
      </c>
      <c r="CU190" s="20">
        <f t="shared" ca="1" si="211"/>
        <v>-0.23912220961029126</v>
      </c>
      <c r="CV190" s="20">
        <f t="shared" ca="1" si="212"/>
        <v>-0.14347332576617475</v>
      </c>
      <c r="CW190" s="20">
        <f t="shared" ca="1" si="213"/>
        <v>-7.9707403203430421E-2</v>
      </c>
      <c r="CX190" s="20">
        <f t="shared" ca="1" si="214"/>
        <v>-4.2198036990051396E-2</v>
      </c>
      <c r="CY190" s="20">
        <f t="shared" ca="1" si="215"/>
        <v>-2.1738382691844658E-2</v>
      </c>
      <c r="CZ190" s="20">
        <f t="shared" ca="1" si="216"/>
        <v>-1.1036409674321134E-2</v>
      </c>
      <c r="DA190" s="21">
        <f t="shared" ca="1" si="217"/>
        <v>1.1036409674321134E-2</v>
      </c>
      <c r="DB190" s="21">
        <f t="shared" ca="1" si="218"/>
        <v>2.1738382691844658E-2</v>
      </c>
      <c r="DC190" s="21">
        <f t="shared" ca="1" si="219"/>
        <v>4.2198036990051396E-2</v>
      </c>
      <c r="DD190" s="21">
        <f t="shared" ca="1" si="220"/>
        <v>7.9707403203430421E-2</v>
      </c>
      <c r="DE190" s="21">
        <f t="shared" ca="1" si="221"/>
        <v>0.14347332576617475</v>
      </c>
      <c r="DF190" s="21">
        <f t="shared" ca="1" si="222"/>
        <v>0.23912220961029126</v>
      </c>
      <c r="DG190" s="21">
        <f t="shared" ca="1" si="223"/>
        <v>0.35868331441543688</v>
      </c>
      <c r="DI190" s="16" cm="1">
        <f t="array" aca="1" ref="DI190" ca="1">MAX(_xlfn._xlws.FILTER(CT190:DG190,CT190:DG190&lt;BR190))</f>
        <v>-1.1036409674321134E-2</v>
      </c>
      <c r="DJ190" s="16" cm="1">
        <f t="array" aca="1" ref="DJ190" ca="1">MIN(_xlfn._xlws.FILTER(CT190:DG190,CT190:DG190&gt;BR190))</f>
        <v>1.1036409674321134E-2</v>
      </c>
      <c r="DK190" s="2" cm="1">
        <f t="array" aca="1" ref="DK190" ca="1">_FV(EC190,"Fechamento anterior",TRUE)</f>
        <v>3.91</v>
      </c>
      <c r="DL190" s="28">
        <f t="shared" ca="1" si="162"/>
        <v>0.5</v>
      </c>
      <c r="DM190" s="15">
        <f t="shared" ca="1" si="224"/>
        <v>3.8668476381734047</v>
      </c>
      <c r="DN190" s="15">
        <f t="shared" ca="1" si="225"/>
        <v>3.9531523618265956</v>
      </c>
      <c r="DO190" s="9"/>
      <c r="DP190" s="9"/>
      <c r="DQ190" s="9"/>
      <c r="DR190" s="89">
        <v>9.9889931951000696E-3</v>
      </c>
      <c r="DS190" s="89">
        <v>1.9840347206076102E-2</v>
      </c>
      <c r="DT190" s="89">
        <v>2.1241355758558858E-2</v>
      </c>
      <c r="DU190" s="89">
        <v>2.1241355758558858E-2</v>
      </c>
      <c r="DV190" s="89">
        <f t="shared" ca="1" si="163"/>
        <v>2.2072819348642268E-2</v>
      </c>
      <c r="DW190" s="72">
        <f t="shared" ca="1" si="164"/>
        <v>-0.7026678518396926</v>
      </c>
      <c r="DX190" s="37"/>
      <c r="DY190" s="35">
        <f t="shared" si="174"/>
        <v>5.5502752684489072E-2</v>
      </c>
      <c r="DZ190" s="56"/>
      <c r="EA190" s="56"/>
      <c r="EC190" s="2" t="e" vm="192">
        <v>#VALUE!</v>
      </c>
      <c r="EE190" s="10" cm="1">
        <f t="array" aca="1" ref="EE190" ca="1">_FV(EC190,"Ações em circulação",TRUE)</f>
        <v>61776580</v>
      </c>
      <c r="EF190" s="18">
        <f>VLOOKUP(BM190,Fundamentus!A:U,5,FALSE)</f>
        <v>0.21099999999999999</v>
      </c>
      <c r="EG190" s="2">
        <f t="shared" ca="1" si="165"/>
        <v>1144769800</v>
      </c>
      <c r="EH190" s="17">
        <v>27016567.280000001</v>
      </c>
      <c r="EI190" s="17">
        <f t="shared" ca="1" si="166"/>
        <v>27016567.280000001</v>
      </c>
      <c r="EK190" s="16">
        <f t="shared" ca="1" si="153"/>
        <v>0</v>
      </c>
      <c r="EL190" s="32" t="str">
        <f>IF(VLOOKUP(BM190,Fundamentus!A:U,3,FALSE)&lt;15,"Bom",IF(VLOOKUP(BM190,Fundamentus!A:U,3,FALSE)&gt;15,"Ruim","n/a"))</f>
        <v>Bom</v>
      </c>
      <c r="EM190" s="28" t="str">
        <f>IF(VLOOKUP(BM190,Fundamentus!A:U,4,FALSE)&lt;1,"Baixo",IF(VLOOKUP(BM190,Fundamentus!A:U,4,FALSE)&lt;1.5,"Moderado",IF(VLOOKUP(BM190,Fundamentus!A:U,4,FALSE)&gt;1.5,"Alto","n/a")))</f>
        <v>Baixo</v>
      </c>
      <c r="EN190" s="17" t="str">
        <f>IF(VLOOKUP(BM190,Fundamentus!A:U,8,FALSE)&lt;0,"Risco elevado",IF(VLOOKUP(BM190,Fundamentus!A:U,8,FALSE)&lt;1,"Saudável",IF(VLOOKUP(BM190,Fundamentus!A:U,8,FALSE)&lt;3,"Estável",IF(VLOOKUP(BM190,Fundamentus!A:U,8,FALSE)&gt;3,"Alerta","n/a"))))</f>
        <v>Estável</v>
      </c>
      <c r="EO190" s="28" t="str">
        <f t="shared" si="167"/>
        <v>Ruim</v>
      </c>
      <c r="EP190" s="17" t="str">
        <f>IF(VLOOKUP(BM190,Fundamentus!A:U,12,FALSE)&lt;2,"Subvalorizada",IF(VLOOKUP(BM190,Fundamentus!A:U,12,FALSE)&lt;6,"Muita barata",IF(VLOOKUP(BM190,Fundamentus!A:U,12,FALSE)&lt;6,"Barata",IF(VLOOKUP(BM190,Fundamentus!A:U,12,FALSE)&lt;8,"Atrativa",IF(VLOOKUP(BM190,Fundamentus!A:U,12,FALSE)&gt;8,"Supervalorizada","n/a")))))</f>
        <v>Muita barata</v>
      </c>
      <c r="ER190" s="17" t="str">
        <f>IF(VLOOKUP(BM190,Fundamentus!A:U,17,FALSE)&lt;0.1,"Fraco retorno",IF(VLOOKUP(BM190,Fundamentus!A:U,17,FALSE)&gt;0.1,"Bom retorno","n/a"))</f>
        <v>Fraco retorno</v>
      </c>
      <c r="ES190" s="17" t="str">
        <f>IF(VLOOKUP(BM190,Fundamentus!A:U,16,FALSE)&lt;0.1,"Ineficiente",IF(VLOOKUP(BM190,Fundamentus!A:U,16,FALSE)&gt;0.1,"Eficiente","n/a"))</f>
        <v>Ineficiente</v>
      </c>
      <c r="ET190" s="33" t="str">
        <f>IF(VLOOKUP(BM190,Fundamentus!A:U,16,FALSE)&lt;0.1,"Oper. Ineficiente",IF(VLOOKUP(BM190,Fundamentus!A:U,16,FALSE)&gt;0.1,"Oper.Eficiente","n/a"))</f>
        <v>Oper. Ineficiente</v>
      </c>
      <c r="EU190" s="34">
        <f>VLOOKUP(BM190,Fundamentus!A:U,14,FALSE)</f>
        <v>2.3599999999999999E-2</v>
      </c>
      <c r="EV190" s="17" t="str">
        <f>IF(VLOOKUP(BM190,Fundamentus!A:U,21,FALSE)&lt;0,"Negativo",IF(VLOOKUP(BM190,Fundamentus!A:U,21,FALSE)&lt;0.05,"Fraco",IF(VLOOKUP(BM190,Fundamentus!A:U,21,FALSE)&lt;0.1,"Bom",IF(VLOOKUP(BM190,Fundamentus!A:U,21,FALSE)&gt;0.1,"Muito bom","n/a"))))</f>
        <v>Bom</v>
      </c>
      <c r="EX190" s="29" t="str">
        <f>IF(VLOOKUP(BM190,Fundamentus!A:U,15,FALSE)&gt;1,"Bom",IF(VLOOKUP(BM190,Fundamentus!A:U,15,FALSE)&lt;1,"Ruim","n/a"))</f>
        <v>Bom</v>
      </c>
      <c r="EY190" s="17" t="str">
        <f>IF(VLOOKUP(BM190,Fundamentus!A:U,20,FALSE)&lt;0.5,"Baixa",IF(VLOOKUP(BM190,Fundamentus!A:U,20,FALSE)&lt;1,"Moderada",IF(VLOOKUP(BM190,Fundamentus!A:U,20,FALSE)&lt;2,"Alerta",IF(VLOOKUP(BM190,Fundamentus!A:U,20,FALSE)&gt;2,"Alta","n/a"))))</f>
        <v>Baixa</v>
      </c>
      <c r="EZ190" s="10"/>
    </row>
    <row r="191" spans="1:156" s="2" customFormat="1" ht="11.25" x14ac:dyDescent="0.2">
      <c r="A191" s="4">
        <v>0.95</v>
      </c>
      <c r="B191" s="4">
        <v>1.01</v>
      </c>
      <c r="C191" s="4">
        <v>1.18</v>
      </c>
      <c r="D191" s="4">
        <v>1.18</v>
      </c>
      <c r="E191" s="4">
        <v>1.1599999999999999</v>
      </c>
      <c r="F191" s="4">
        <v>1.1200000000000001</v>
      </c>
      <c r="G191" s="4">
        <v>1.07</v>
      </c>
      <c r="H191" s="4">
        <v>1.02</v>
      </c>
      <c r="I191" s="4">
        <v>1.02</v>
      </c>
      <c r="J191" s="4">
        <v>1.05</v>
      </c>
      <c r="K191" s="4">
        <v>1.08</v>
      </c>
      <c r="L191" s="4">
        <v>1.05</v>
      </c>
      <c r="M191" s="4">
        <v>0.99</v>
      </c>
      <c r="N191" s="4">
        <v>1</v>
      </c>
      <c r="O191" s="4">
        <v>1.03</v>
      </c>
      <c r="P191" s="4">
        <v>1</v>
      </c>
      <c r="Q191" s="4">
        <v>1.0900000000000001</v>
      </c>
      <c r="R191" s="4">
        <v>1.06</v>
      </c>
      <c r="S191" s="4">
        <v>1.1399999999999999</v>
      </c>
      <c r="T191" s="4">
        <v>1.1100000000000001</v>
      </c>
      <c r="U191" s="4">
        <v>1.05</v>
      </c>
      <c r="V191" s="4">
        <v>1.05</v>
      </c>
      <c r="W191" s="4">
        <v>1</v>
      </c>
      <c r="X191" s="4">
        <v>0.97</v>
      </c>
      <c r="Y191" s="4">
        <v>0.94</v>
      </c>
      <c r="Z191" s="4">
        <v>0.94</v>
      </c>
      <c r="AA191" s="4">
        <v>0.95</v>
      </c>
      <c r="AB191" s="4">
        <v>1.02</v>
      </c>
      <c r="AC191" s="4">
        <v>0.96</v>
      </c>
      <c r="AD191" s="4">
        <v>0.96</v>
      </c>
      <c r="AE191" s="4">
        <v>0.89</v>
      </c>
      <c r="AF191" s="4">
        <v>0.84</v>
      </c>
      <c r="AG191" s="4">
        <v>0.81</v>
      </c>
      <c r="AH191" s="4">
        <v>0.71</v>
      </c>
      <c r="AI191" s="4">
        <v>0.72</v>
      </c>
      <c r="AJ191" s="4">
        <v>0.73</v>
      </c>
      <c r="AK191" s="4">
        <v>0.71</v>
      </c>
      <c r="AL191" s="4">
        <v>0.73</v>
      </c>
      <c r="AM191" s="4">
        <v>0.75</v>
      </c>
      <c r="AN191" s="4">
        <v>0.73</v>
      </c>
      <c r="AO191" s="4">
        <v>0.72</v>
      </c>
      <c r="AP191" s="4">
        <v>0.72</v>
      </c>
      <c r="AQ191" s="4">
        <v>0.72</v>
      </c>
      <c r="AR191" s="4">
        <v>0.71</v>
      </c>
      <c r="AS191" s="4">
        <v>0.67</v>
      </c>
      <c r="AT191" s="4">
        <v>0.71</v>
      </c>
      <c r="AU191" s="4">
        <v>0.73</v>
      </c>
      <c r="AV191" s="4">
        <v>0.73</v>
      </c>
      <c r="AW191" s="4">
        <v>0.71</v>
      </c>
      <c r="AX191" s="4">
        <v>0.72</v>
      </c>
      <c r="AY191" s="12">
        <v>0.77</v>
      </c>
      <c r="AZ191" s="12">
        <v>0.8</v>
      </c>
      <c r="BA191" s="12">
        <v>0.82</v>
      </c>
      <c r="BB191" s="15">
        <v>0.89</v>
      </c>
      <c r="BC191" s="52">
        <v>0.94</v>
      </c>
      <c r="BD191" s="52">
        <v>1.1200000000000001</v>
      </c>
      <c r="BE191" s="52">
        <v>1</v>
      </c>
      <c r="BF191" s="52">
        <v>1.01</v>
      </c>
      <c r="BG191" s="67">
        <v>1.02</v>
      </c>
      <c r="BH191" s="52">
        <v>1.03</v>
      </c>
      <c r="BI191" s="52">
        <v>1.03</v>
      </c>
      <c r="BJ191" s="52">
        <v>1.1100000000000001</v>
      </c>
      <c r="BK191" s="52">
        <v>1.1200000000000001</v>
      </c>
      <c r="BL191" s="52" cm="1">
        <f t="array" aca="1" ref="BL191" ca="1">_FV(EC191,"Preço")</f>
        <v>1.1200000000000001</v>
      </c>
      <c r="BM191" s="69" t="s">
        <v>180</v>
      </c>
      <c r="BN191" s="36" cm="1">
        <f t="array" aca="1" ref="BN191" ca="1">_FV(EC191,"Média de volume",TRUE)</f>
        <v>407830</v>
      </c>
      <c r="BO191" s="36">
        <v>217700</v>
      </c>
      <c r="BP191" s="36" cm="1">
        <f t="array" aca="1" ref="BP191" ca="1">_FV(EC191,"Volume")</f>
        <v>217700</v>
      </c>
      <c r="BQ191" s="24" cm="1">
        <f t="array" aca="1" ref="BQ191" ca="1">_FV(EC191,"Beta")</f>
        <v>1.6004</v>
      </c>
      <c r="BR191" s="71" cm="1">
        <f t="array" aca="1" ref="BR191" ca="1">_FV(EC191,"Variação (%)",TRUE)</f>
        <v>-4.2735000000000002E-2</v>
      </c>
      <c r="BT191" s="17" cm="1">
        <f t="array" aca="1" ref="BT191" ca="1">_FV(EC191,"Baixo")</f>
        <v>1.1200000000000001</v>
      </c>
      <c r="BU191" s="17" cm="1">
        <f t="array" aca="1" ref="BU191" ca="1">_FV(EC191,"Alto")</f>
        <v>1.17</v>
      </c>
      <c r="BV191" s="24"/>
      <c r="BW191" s="63">
        <f ca="1">SQRT(22.5*(BL191/VLOOKUP(BM191,Fundamentus!A:U,3,FALSE))*(BL191/VLOOKUP(BM191,Fundamentus!A:U,4,FALSE)))</f>
        <v>1.2595246191674667</v>
      </c>
      <c r="BY191" s="62">
        <f t="shared" ca="1" si="168"/>
        <v>0</v>
      </c>
      <c r="BZ191" s="8"/>
      <c r="CA191" s="61">
        <f t="shared" si="169"/>
        <v>0.67</v>
      </c>
      <c r="CB191" s="61">
        <f t="shared" si="170"/>
        <v>1.18</v>
      </c>
      <c r="CC191" s="61">
        <f t="shared" si="171"/>
        <v>0.92968253968253944</v>
      </c>
      <c r="CD191" s="14"/>
      <c r="CE191" s="35">
        <f t="shared" si="154"/>
        <v>1.0015566722571643</v>
      </c>
      <c r="CF191" s="15">
        <f t="shared" si="172"/>
        <v>1.089999999999975</v>
      </c>
      <c r="CG191" s="35">
        <f t="shared" si="155"/>
        <v>1.1784433277427857</v>
      </c>
      <c r="CI191" s="14"/>
      <c r="CJ191" s="17">
        <f t="shared" si="156"/>
        <v>0.28333333333333355</v>
      </c>
      <c r="CK191" s="17">
        <f t="shared" si="157"/>
        <v>0.47666666666666679</v>
      </c>
      <c r="CL191" s="17">
        <f t="shared" si="158"/>
        <v>0.79333333333333345</v>
      </c>
      <c r="CM191" s="38">
        <f t="shared" si="173"/>
        <v>0.98666666666666669</v>
      </c>
      <c r="CN191" s="17">
        <f t="shared" si="159"/>
        <v>1.3033333333333332</v>
      </c>
      <c r="CO191" s="17">
        <f t="shared" si="160"/>
        <v>1.4966666666666666</v>
      </c>
      <c r="CP191" s="17">
        <f t="shared" si="161"/>
        <v>1.8133333333333332</v>
      </c>
      <c r="CQ191" s="2" cm="1">
        <f t="array" aca="1" ref="CQ191" ca="1">MAX(_xlfn._xlws.FILTER(CJ191:CP191,CJ191:CP191&lt;BL191))</f>
        <v>0.98666666666666669</v>
      </c>
      <c r="CR191" s="2" cm="1">
        <f t="array" aca="1" ref="CR191" ca="1">MIN(_xlfn._xlws.FILTER($CJ191:$CP191,$CJ191:$CP191&gt;BL191))</f>
        <v>1.3033333333333332</v>
      </c>
      <c r="CS191" s="16">
        <f t="shared" ca="1" si="209"/>
        <v>0.32094594594594583</v>
      </c>
      <c r="CT191" s="20">
        <f t="shared" ca="1" si="210"/>
        <v>-0.16047297297297292</v>
      </c>
      <c r="CU191" s="20">
        <f t="shared" ca="1" si="211"/>
        <v>-0.10698198198198194</v>
      </c>
      <c r="CV191" s="20">
        <f t="shared" ca="1" si="212"/>
        <v>-6.4189189189189172E-2</v>
      </c>
      <c r="CW191" s="20">
        <f t="shared" ca="1" si="213"/>
        <v>-3.5660660660660648E-2</v>
      </c>
      <c r="CX191" s="20">
        <f t="shared" ca="1" si="214"/>
        <v>-1.8879173290937992E-2</v>
      </c>
      <c r="CY191" s="20">
        <f t="shared" ca="1" si="215"/>
        <v>-9.7256347256347228E-3</v>
      </c>
      <c r="CZ191" s="20">
        <f t="shared" ca="1" si="216"/>
        <v>-4.9376299376299362E-3</v>
      </c>
      <c r="DA191" s="21">
        <f t="shared" ca="1" si="217"/>
        <v>4.9376299376299362E-3</v>
      </c>
      <c r="DB191" s="21">
        <f t="shared" ca="1" si="218"/>
        <v>9.7256347256347228E-3</v>
      </c>
      <c r="DC191" s="21">
        <f t="shared" ca="1" si="219"/>
        <v>1.8879173290937992E-2</v>
      </c>
      <c r="DD191" s="21">
        <f t="shared" ca="1" si="220"/>
        <v>3.5660660660660648E-2</v>
      </c>
      <c r="DE191" s="21">
        <f t="shared" ca="1" si="221"/>
        <v>6.4189189189189172E-2</v>
      </c>
      <c r="DF191" s="21">
        <f t="shared" ca="1" si="222"/>
        <v>0.10698198198198194</v>
      </c>
      <c r="DG191" s="21">
        <f t="shared" ca="1" si="223"/>
        <v>0.16047297297297292</v>
      </c>
      <c r="DI191" s="16" cm="1">
        <f t="array" aca="1" ref="DI191" ca="1">MAX(_xlfn._xlws.FILTER(CT191:DG191,CT191:DG191&lt;BR191))</f>
        <v>-6.4189189189189172E-2</v>
      </c>
      <c r="DJ191" s="16" cm="1">
        <f t="array" aca="1" ref="DJ191" ca="1">MIN(_xlfn._xlws.FILTER(CT191:DG191,CT191:DG191&gt;BR191))</f>
        <v>-3.5660660660660648E-2</v>
      </c>
      <c r="DK191" s="2" cm="1">
        <f t="array" aca="1" ref="DK191" ca="1">_FV(EC191,"Fechamento anterior",TRUE)</f>
        <v>1.17</v>
      </c>
      <c r="DL191" s="28">
        <f t="shared" ca="1" si="162"/>
        <v>0.75202429149797823</v>
      </c>
      <c r="DM191" s="15">
        <f t="shared" ca="1" si="224"/>
        <v>1.0948986486486487</v>
      </c>
      <c r="DN191" s="15">
        <f t="shared" ca="1" si="225"/>
        <v>1.128277027027027</v>
      </c>
      <c r="DO191" s="9"/>
      <c r="DP191" s="9"/>
      <c r="DQ191" s="9"/>
      <c r="DR191" s="89">
        <v>8.0468551056786242E-3</v>
      </c>
      <c r="DS191" s="89">
        <v>8.5462122764848655E-3</v>
      </c>
      <c r="DT191" s="89">
        <v>4.7880047880047866E-3</v>
      </c>
      <c r="DU191" s="89">
        <v>2.8528528528528524E-2</v>
      </c>
      <c r="DV191" s="89">
        <f t="shared" ca="1" si="163"/>
        <v>2.8528528528528524E-2</v>
      </c>
      <c r="DW191" s="72">
        <f t="shared" ca="1" si="164"/>
        <v>0.33920026265026787</v>
      </c>
      <c r="DX191" s="37"/>
      <c r="DY191" s="35">
        <f t="shared" si="174"/>
        <v>4.4221663871405373E-2</v>
      </c>
      <c r="DZ191" s="56"/>
      <c r="EA191" s="56"/>
      <c r="EC191" s="2" t="e" vm="193">
        <v>#VALUE!</v>
      </c>
      <c r="EE191" s="10" cm="1">
        <f t="array" aca="1" ref="EE191" ca="1">_FV(EC191,"Ações em circulação",TRUE)</f>
        <v>361423100</v>
      </c>
      <c r="EF191" s="18">
        <f>VLOOKUP(BM191,Fundamentus!A:U,5,FALSE)</f>
        <v>0.35599999999999998</v>
      </c>
      <c r="EG191" s="2">
        <f t="shared" ca="1" si="165"/>
        <v>1137061438.2022474</v>
      </c>
      <c r="EH191" s="17">
        <v>8982785.3617977556</v>
      </c>
      <c r="EI191" s="17">
        <f t="shared" ca="1" si="166"/>
        <v>8982785.3617977556</v>
      </c>
      <c r="EK191" s="16">
        <f t="shared" ca="1" si="153"/>
        <v>0</v>
      </c>
      <c r="EL191" s="32" t="str">
        <f>IF(VLOOKUP(BM191,Fundamentus!A:U,3,FALSE)&lt;15,"Bom",IF(VLOOKUP(BM191,Fundamentus!A:U,3,FALSE)&gt;15,"Ruim","n/a"))</f>
        <v>Ruim</v>
      </c>
      <c r="EM191" s="28" t="str">
        <f>IF(VLOOKUP(BM191,Fundamentus!A:U,4,FALSE)&lt;1,"Baixo",IF(VLOOKUP(BM191,Fundamentus!A:U,4,FALSE)&lt;1.5,"Moderado",IF(VLOOKUP(BM191,Fundamentus!A:U,4,FALSE)&gt;1.5,"Alto","n/a")))</f>
        <v>Baixo</v>
      </c>
      <c r="EN191" s="17" t="str">
        <f>IF(VLOOKUP(BM191,Fundamentus!A:U,8,FALSE)&lt;0,"Risco elevado",IF(VLOOKUP(BM191,Fundamentus!A:U,8,FALSE)&lt;1,"Saudável",IF(VLOOKUP(BM191,Fundamentus!A:U,8,FALSE)&lt;3,"Estável",IF(VLOOKUP(BM191,Fundamentus!A:U,8,FALSE)&gt;3,"Alerta","n/a"))))</f>
        <v>Estável</v>
      </c>
      <c r="EO191" s="28" t="str">
        <f t="shared" si="167"/>
        <v>Ruim</v>
      </c>
      <c r="EP191" s="17" t="str">
        <f>IF(VLOOKUP(BM191,Fundamentus!A:U,12,FALSE)&lt;2,"Subvalorizada",IF(VLOOKUP(BM191,Fundamentus!A:U,12,FALSE)&lt;6,"Muita barata",IF(VLOOKUP(BM191,Fundamentus!A:U,12,FALSE)&lt;6,"Barata",IF(VLOOKUP(BM191,Fundamentus!A:U,12,FALSE)&lt;8,"Atrativa",IF(VLOOKUP(BM191,Fundamentus!A:U,12,FALSE)&gt;8,"Supervalorizada","n/a")))))</f>
        <v>Muita barata</v>
      </c>
      <c r="ER191" s="17" t="str">
        <f>IF(VLOOKUP(BM191,Fundamentus!A:U,17,FALSE)&lt;0.1,"Fraco retorno",IF(VLOOKUP(BM191,Fundamentus!A:U,17,FALSE)&gt;0.1,"Bom retorno","n/a"))</f>
        <v>Fraco retorno</v>
      </c>
      <c r="ES191" s="17" t="str">
        <f>IF(VLOOKUP(BM191,Fundamentus!A:U,16,FALSE)&lt;0.1,"Ineficiente",IF(VLOOKUP(BM191,Fundamentus!A:U,16,FALSE)&gt;0.1,"Eficiente","n/a"))</f>
        <v>Ineficiente</v>
      </c>
      <c r="ET191" s="33" t="str">
        <f>IF(VLOOKUP(BM191,Fundamentus!A:U,16,FALSE)&lt;0.1,"Oper. Ineficiente",IF(VLOOKUP(BM191,Fundamentus!A:U,16,FALSE)&gt;0.1,"Oper.Eficiente","n/a"))</f>
        <v>Oper. Ineficiente</v>
      </c>
      <c r="EU191" s="34">
        <f>VLOOKUP(BM191,Fundamentus!A:U,14,FALSE)</f>
        <v>7.9000000000000008E-3</v>
      </c>
      <c r="EV191" s="17" t="str">
        <f>IF(VLOOKUP(BM191,Fundamentus!A:U,21,FALSE)&lt;0,"Negativo",IF(VLOOKUP(BM191,Fundamentus!A:U,21,FALSE)&lt;0.05,"Fraco",IF(VLOOKUP(BM191,Fundamentus!A:U,21,FALSE)&lt;0.1,"Bom",IF(VLOOKUP(BM191,Fundamentus!A:U,21,FALSE)&gt;0.1,"Muito bom","n/a"))))</f>
        <v>Muito bom</v>
      </c>
      <c r="EX191" s="29" t="str">
        <f>IF(VLOOKUP(BM191,Fundamentus!A:U,15,FALSE)&gt;1,"Bom",IF(VLOOKUP(BM191,Fundamentus!A:U,15,FALSE)&lt;1,"Ruim","n/a"))</f>
        <v>Bom</v>
      </c>
      <c r="EY191" s="17" t="str">
        <f>IF(VLOOKUP(BM191,Fundamentus!A:U,20,FALSE)&lt;0.5,"Baixa",IF(VLOOKUP(BM191,Fundamentus!A:U,20,FALSE)&lt;1,"Moderada",IF(VLOOKUP(BM191,Fundamentus!A:U,20,FALSE)&lt;2,"Alerta",IF(VLOOKUP(BM191,Fundamentus!A:U,20,FALSE)&gt;2,"Alta","n/a"))))</f>
        <v>Moderada</v>
      </c>
      <c r="EZ191" s="10"/>
    </row>
    <row r="192" spans="1:156" s="2" customFormat="1" ht="11.25" x14ac:dyDescent="0.2">
      <c r="A192" s="4">
        <v>5.81</v>
      </c>
      <c r="B192" s="4">
        <v>5.68</v>
      </c>
      <c r="C192" s="4">
        <v>5.63</v>
      </c>
      <c r="D192" s="4">
        <v>5.54</v>
      </c>
      <c r="E192" s="4">
        <v>5.0199999999999996</v>
      </c>
      <c r="F192" s="4">
        <v>5</v>
      </c>
      <c r="G192" s="4">
        <v>4.87</v>
      </c>
      <c r="H192" s="4">
        <v>4.66</v>
      </c>
      <c r="I192" s="4">
        <v>4.5</v>
      </c>
      <c r="J192" s="4">
        <v>4.97</v>
      </c>
      <c r="K192" s="4">
        <v>5</v>
      </c>
      <c r="L192" s="4">
        <v>4.49</v>
      </c>
      <c r="M192" s="4">
        <v>4.91</v>
      </c>
      <c r="N192" s="4">
        <v>4.6900000000000004</v>
      </c>
      <c r="O192" s="4">
        <v>4.6100000000000003</v>
      </c>
      <c r="P192" s="4">
        <v>4.41</v>
      </c>
      <c r="Q192" s="4">
        <v>4.7699999999999996</v>
      </c>
      <c r="R192" s="4">
        <v>4.66</v>
      </c>
      <c r="S192" s="4">
        <v>4.7</v>
      </c>
      <c r="T192" s="4">
        <v>4.83</v>
      </c>
      <c r="U192" s="4">
        <v>4.54</v>
      </c>
      <c r="V192" s="4">
        <v>4.49</v>
      </c>
      <c r="W192" s="4">
        <v>4.63</v>
      </c>
      <c r="X192" s="4">
        <v>4.45</v>
      </c>
      <c r="Y192" s="4">
        <v>4.25</v>
      </c>
      <c r="Z192" s="4">
        <v>4.18</v>
      </c>
      <c r="AA192" s="4">
        <v>4.07</v>
      </c>
      <c r="AB192" s="4">
        <v>4.43</v>
      </c>
      <c r="AC192" s="4">
        <v>4.3</v>
      </c>
      <c r="AD192" s="4">
        <v>4.24</v>
      </c>
      <c r="AE192" s="4">
        <v>4.13</v>
      </c>
      <c r="AF192" s="4">
        <v>3.93</v>
      </c>
      <c r="AG192" s="4">
        <v>3.95</v>
      </c>
      <c r="AH192" s="4">
        <v>3.61</v>
      </c>
      <c r="AI192" s="4">
        <v>3.56</v>
      </c>
      <c r="AJ192" s="4">
        <v>3.61</v>
      </c>
      <c r="AK192" s="4">
        <v>3.65</v>
      </c>
      <c r="AL192" s="4">
        <v>3.51</v>
      </c>
      <c r="AM192" s="4">
        <v>3.6</v>
      </c>
      <c r="AN192" s="4">
        <v>3.86</v>
      </c>
      <c r="AO192" s="4">
        <v>4</v>
      </c>
      <c r="AP192" s="4">
        <v>3.92</v>
      </c>
      <c r="AQ192" s="4">
        <v>3.84</v>
      </c>
      <c r="AR192" s="4">
        <v>3.7</v>
      </c>
      <c r="AS192" s="4">
        <v>3.8</v>
      </c>
      <c r="AT192" s="4">
        <v>4.05</v>
      </c>
      <c r="AU192" s="4">
        <v>3.5750000000000002</v>
      </c>
      <c r="AV192" s="4">
        <v>4.08</v>
      </c>
      <c r="AW192" s="4">
        <v>3.95</v>
      </c>
      <c r="AX192" s="4">
        <v>3.84</v>
      </c>
      <c r="AY192" s="12">
        <v>4.22</v>
      </c>
      <c r="AZ192" s="12">
        <v>4.78</v>
      </c>
      <c r="BA192" s="12">
        <v>4.79</v>
      </c>
      <c r="BB192" s="15">
        <v>4.5599999999999996</v>
      </c>
      <c r="BC192" s="52">
        <v>4.4400000000000004</v>
      </c>
      <c r="BD192" s="52">
        <v>4.95</v>
      </c>
      <c r="BE192" s="52">
        <v>4.74</v>
      </c>
      <c r="BF192" s="52">
        <v>4.66</v>
      </c>
      <c r="BG192" s="67">
        <v>4.4000000000000004</v>
      </c>
      <c r="BH192" s="52">
        <v>4.7300000000000004</v>
      </c>
      <c r="BI192" s="52">
        <v>4.59</v>
      </c>
      <c r="BJ192" s="52">
        <v>4.62</v>
      </c>
      <c r="BK192" s="52">
        <v>4.58</v>
      </c>
      <c r="BL192" s="52" cm="1">
        <f t="array" aca="1" ref="BL192" ca="1">_FV(EC192,"Preço")</f>
        <v>4.58</v>
      </c>
      <c r="BM192" s="69" t="s">
        <v>188</v>
      </c>
      <c r="BN192" s="36" cm="1">
        <f t="array" aca="1" ref="BN192" ca="1">_FV(EC192,"Média de volume",TRUE)</f>
        <v>260350</v>
      </c>
      <c r="BO192" s="36">
        <v>147900</v>
      </c>
      <c r="BP192" s="36" cm="1">
        <f t="array" aca="1" ref="BP192" ca="1">_FV(EC192,"Volume")</f>
        <v>147900</v>
      </c>
      <c r="BQ192" s="24" cm="1">
        <f t="array" aca="1" ref="BQ192" ca="1">_FV(EC192,"Beta")</f>
        <v>1.5668</v>
      </c>
      <c r="BR192" s="71" cm="1">
        <f t="array" aca="1" ref="BR192" ca="1">_FV(EC192,"Variação (%)",TRUE)</f>
        <v>4.3860000000000001E-3</v>
      </c>
      <c r="BT192" s="17" cm="1">
        <f t="array" aca="1" ref="BT192" ca="1">_FV(EC192,"Baixo")</f>
        <v>4.46</v>
      </c>
      <c r="BU192" s="17" cm="1">
        <f t="array" aca="1" ref="BU192" ca="1">_FV(EC192,"Alto")</f>
        <v>4.68</v>
      </c>
      <c r="BV192" s="24"/>
      <c r="BW192" s="63" t="e">
        <f ca="1">SQRT(22.5*(BL192/VLOOKUP(BM192,Fundamentus!A:U,3,FALSE))*(BL192/VLOOKUP(BM192,Fundamentus!A:U,4,FALSE)))</f>
        <v>#NUM!</v>
      </c>
      <c r="BY192" s="62">
        <f t="shared" ca="1" si="168"/>
        <v>0</v>
      </c>
      <c r="BZ192" s="8"/>
      <c r="CA192" s="61">
        <f t="shared" si="169"/>
        <v>3.51</v>
      </c>
      <c r="CB192" s="61">
        <f t="shared" si="170"/>
        <v>5.81</v>
      </c>
      <c r="CC192" s="61">
        <f t="shared" si="171"/>
        <v>4.4215079365079371</v>
      </c>
      <c r="CD192" s="14"/>
      <c r="CE192" s="35">
        <f t="shared" si="154"/>
        <v>4.4067899881586055</v>
      </c>
      <c r="CF192" s="15">
        <f t="shared" si="172"/>
        <v>4.6089999999999804</v>
      </c>
      <c r="CG192" s="35">
        <f t="shared" si="155"/>
        <v>4.8112100118413554</v>
      </c>
      <c r="CI192" s="14"/>
      <c r="CJ192" s="17">
        <f t="shared" si="156"/>
        <v>1.1833333333333353</v>
      </c>
      <c r="CK192" s="17">
        <f t="shared" si="157"/>
        <v>2.3466666666666676</v>
      </c>
      <c r="CL192" s="17">
        <f t="shared" si="158"/>
        <v>3.4833333333333352</v>
      </c>
      <c r="CM192" s="38">
        <f t="shared" si="173"/>
        <v>4.6466666666666674</v>
      </c>
      <c r="CN192" s="17">
        <f t="shared" si="159"/>
        <v>5.783333333333335</v>
      </c>
      <c r="CO192" s="17">
        <f t="shared" si="160"/>
        <v>6.9466666666666672</v>
      </c>
      <c r="CP192" s="17">
        <f t="shared" si="161"/>
        <v>8.0833333333333357</v>
      </c>
      <c r="CQ192" s="2" cm="1">
        <f t="array" aca="1" ref="CQ192" ca="1">MAX(_xlfn._xlws.FILTER(CJ192:CP192,CJ192:CP192&lt;BL192))</f>
        <v>3.4833333333333352</v>
      </c>
      <c r="CR192" s="2" cm="1">
        <f t="array" aca="1" ref="CR192" ca="1">MIN(_xlfn._xlws.FILTER($CJ192:$CP192,$CJ192:$CP192&gt;BL192))</f>
        <v>4.6466666666666674</v>
      </c>
      <c r="CS192" s="16">
        <f t="shared" ca="1" si="209"/>
        <v>0.33397129186602825</v>
      </c>
      <c r="CT192" s="20">
        <f t="shared" ca="1" si="210"/>
        <v>-0.16698564593301413</v>
      </c>
      <c r="CU192" s="20">
        <f t="shared" ca="1" si="211"/>
        <v>-0.11132376395534276</v>
      </c>
      <c r="CV192" s="20">
        <f t="shared" ca="1" si="212"/>
        <v>-6.6794258373205656E-2</v>
      </c>
      <c r="CW192" s="20">
        <f t="shared" ca="1" si="213"/>
        <v>-3.7107921318447583E-2</v>
      </c>
      <c r="CX192" s="20">
        <f t="shared" ca="1" si="214"/>
        <v>-1.9645370109766368E-2</v>
      </c>
      <c r="CY192" s="20">
        <f t="shared" ca="1" si="215"/>
        <v>-1.0120342177758432E-2</v>
      </c>
      <c r="CZ192" s="20">
        <f t="shared" ca="1" si="216"/>
        <v>-5.1380198748619734E-3</v>
      </c>
      <c r="DA192" s="21">
        <f t="shared" ca="1" si="217"/>
        <v>5.1380198748619734E-3</v>
      </c>
      <c r="DB192" s="21">
        <f t="shared" ca="1" si="218"/>
        <v>1.0120342177758432E-2</v>
      </c>
      <c r="DC192" s="21">
        <f t="shared" ca="1" si="219"/>
        <v>1.9645370109766368E-2</v>
      </c>
      <c r="DD192" s="21">
        <f t="shared" ca="1" si="220"/>
        <v>3.7107921318447583E-2</v>
      </c>
      <c r="DE192" s="21">
        <f t="shared" ca="1" si="221"/>
        <v>6.6794258373205656E-2</v>
      </c>
      <c r="DF192" s="21">
        <f t="shared" ca="1" si="222"/>
        <v>0.11132376395534276</v>
      </c>
      <c r="DG192" s="21">
        <f t="shared" ca="1" si="223"/>
        <v>0.16698564593301413</v>
      </c>
      <c r="DI192" s="16" cm="1">
        <f t="array" aca="1" ref="DI192" ca="1">MAX(_xlfn._xlws.FILTER(CT192:DG192,CT192:DG192&lt;BR192))</f>
        <v>-5.1380198748619734E-3</v>
      </c>
      <c r="DJ192" s="16" cm="1">
        <f t="array" aca="1" ref="DJ192" ca="1">MIN(_xlfn._xlws.FILTER(CT192:DG192,CT192:DG192&gt;BR192))</f>
        <v>5.1380198748619734E-3</v>
      </c>
      <c r="DK192" s="2" cm="1">
        <f t="array" aca="1" ref="DK192" ca="1">_FV(EC192,"Fechamento anterior",TRUE)</f>
        <v>4.5599999999999996</v>
      </c>
      <c r="DL192" s="28">
        <f t="shared" ca="1" si="162"/>
        <v>0.92681470869150462</v>
      </c>
      <c r="DM192" s="15">
        <f t="shared" ca="1" si="224"/>
        <v>4.5365706293706287</v>
      </c>
      <c r="DN192" s="15">
        <f t="shared" ca="1" si="225"/>
        <v>4.5834293706293705</v>
      </c>
      <c r="DO192" s="9"/>
      <c r="DP192" s="9"/>
      <c r="DQ192" s="9"/>
      <c r="DR192" s="89">
        <v>9.373455799571058E-3</v>
      </c>
      <c r="DS192" s="89">
        <v>1.0570534634705751E-2</v>
      </c>
      <c r="DT192" s="89">
        <v>2.9686337054758073E-2</v>
      </c>
      <c r="DU192" s="89">
        <v>1.0276039749723947E-2</v>
      </c>
      <c r="DV192" s="89">
        <f t="shared" ca="1" si="163"/>
        <v>1.0276039749723947E-2</v>
      </c>
      <c r="DW192" s="72">
        <f t="shared" ca="1" si="164"/>
        <v>-0.14341525296348639</v>
      </c>
      <c r="DX192" s="37"/>
      <c r="DY192" s="35">
        <f t="shared" si="174"/>
        <v>0.10110500592068733</v>
      </c>
      <c r="DZ192" s="56"/>
      <c r="EA192" s="56"/>
      <c r="EC192" s="2" t="e" vm="194">
        <v>#VALUE!</v>
      </c>
      <c r="EE192" s="10" cm="1">
        <f t="array" aca="1" ref="EE192" ca="1">_FV(EC192,"Ações em circulação",TRUE)</f>
        <v>339428000</v>
      </c>
      <c r="EF192" s="18">
        <f>VLOOKUP(BM192,Fundamentus!A:U,5,FALSE)</f>
        <v>0.69699999999999995</v>
      </c>
      <c r="EG192" s="2">
        <f t="shared" ca="1" si="165"/>
        <v>2230387718.7948351</v>
      </c>
      <c r="EH192" s="17">
        <v>-363999275.70731711</v>
      </c>
      <c r="EI192" s="17">
        <f t="shared" ca="1" si="166"/>
        <v>-363999275.70731711</v>
      </c>
      <c r="EK192" s="16">
        <f t="shared" ca="1" si="153"/>
        <v>0</v>
      </c>
      <c r="EL192" s="32" t="str">
        <f>IF(VLOOKUP(BM192,Fundamentus!A:U,3,FALSE)&lt;15,"Bom",IF(VLOOKUP(BM192,Fundamentus!A:U,3,FALSE)&gt;15,"Ruim","n/a"))</f>
        <v>Bom</v>
      </c>
      <c r="EM192" s="28" t="str">
        <f>IF(VLOOKUP(BM192,Fundamentus!A:U,4,FALSE)&lt;1,"Baixo",IF(VLOOKUP(BM192,Fundamentus!A:U,4,FALSE)&lt;1.5,"Moderado",IF(VLOOKUP(BM192,Fundamentus!A:U,4,FALSE)&gt;1.5,"Alto","n/a")))</f>
        <v>Moderado</v>
      </c>
      <c r="EN192" s="17" t="str">
        <f>IF(VLOOKUP(BM192,Fundamentus!A:U,8,FALSE)&lt;0,"Risco elevado",IF(VLOOKUP(BM192,Fundamentus!A:U,8,FALSE)&lt;1,"Saudável",IF(VLOOKUP(BM192,Fundamentus!A:U,8,FALSE)&lt;3,"Estável",IF(VLOOKUP(BM192,Fundamentus!A:U,8,FALSE)&gt;3,"Alerta","n/a"))))</f>
        <v>Estável</v>
      </c>
      <c r="EO192" s="28" t="str">
        <f t="shared" si="167"/>
        <v>Ruim</v>
      </c>
      <c r="EP192" s="17" t="str">
        <f>IF(VLOOKUP(BM192,Fundamentus!A:U,12,FALSE)&lt;2,"Subvalorizada",IF(VLOOKUP(BM192,Fundamentus!A:U,12,FALSE)&lt;6,"Muita barata",IF(VLOOKUP(BM192,Fundamentus!A:U,12,FALSE)&lt;6,"Barata",IF(VLOOKUP(BM192,Fundamentus!A:U,12,FALSE)&lt;8,"Atrativa",IF(VLOOKUP(BM192,Fundamentus!A:U,12,FALSE)&gt;8,"Supervalorizada","n/a")))))</f>
        <v>Muita barata</v>
      </c>
      <c r="ER192" s="17" t="str">
        <f>IF(VLOOKUP(BM192,Fundamentus!A:U,17,FALSE)&lt;0.1,"Fraco retorno",IF(VLOOKUP(BM192,Fundamentus!A:U,17,FALSE)&gt;0.1,"Bom retorno","n/a"))</f>
        <v>Fraco retorno</v>
      </c>
      <c r="ES192" s="17" t="str">
        <f>IF(VLOOKUP(BM192,Fundamentus!A:U,16,FALSE)&lt;0.1,"Ineficiente",IF(VLOOKUP(BM192,Fundamentus!A:U,16,FALSE)&gt;0.1,"Eficiente","n/a"))</f>
        <v>Ineficiente</v>
      </c>
      <c r="ET192" s="33" t="str">
        <f>IF(VLOOKUP(BM192,Fundamentus!A:U,16,FALSE)&lt;0.1,"Oper. Ineficiente",IF(VLOOKUP(BM192,Fundamentus!A:U,16,FALSE)&gt;0.1,"Oper.Eficiente","n/a"))</f>
        <v>Oper. Ineficiente</v>
      </c>
      <c r="EU192" s="34">
        <f>VLOOKUP(BM192,Fundamentus!A:U,14,FALSE)</f>
        <v>-0.16320000000000001</v>
      </c>
      <c r="EV192" s="17" t="str">
        <f>IF(VLOOKUP(BM192,Fundamentus!A:U,21,FALSE)&lt;0,"Negativo",IF(VLOOKUP(BM192,Fundamentus!A:U,21,FALSE)&lt;0.05,"Fraco",IF(VLOOKUP(BM192,Fundamentus!A:U,21,FALSE)&lt;0.1,"Bom",IF(VLOOKUP(BM192,Fundamentus!A:U,21,FALSE)&gt;0.1,"Muito bom","n/a"))))</f>
        <v>Muito bom</v>
      </c>
      <c r="EX192" s="29" t="str">
        <f>IF(VLOOKUP(BM192,Fundamentus!A:U,15,FALSE)&gt;1,"Bom",IF(VLOOKUP(BM192,Fundamentus!A:U,15,FALSE)&lt;1,"Ruim","n/a"))</f>
        <v>Bom</v>
      </c>
      <c r="EY192" s="17" t="str">
        <f>IF(VLOOKUP(BM192,Fundamentus!A:U,20,FALSE)&lt;0.5,"Baixa",IF(VLOOKUP(BM192,Fundamentus!A:U,20,FALSE)&lt;1,"Moderada",IF(VLOOKUP(BM192,Fundamentus!A:U,20,FALSE)&lt;2,"Alerta",IF(VLOOKUP(BM192,Fundamentus!A:U,20,FALSE)&gt;2,"Alta","n/a"))))</f>
        <v>Moderada</v>
      </c>
      <c r="EZ192" s="10"/>
    </row>
    <row r="193" spans="1:156" s="2" customFormat="1" ht="11.25" x14ac:dyDescent="0.2">
      <c r="A193" s="4">
        <v>0.82</v>
      </c>
      <c r="B193" s="4">
        <v>0.76</v>
      </c>
      <c r="C193" s="4">
        <v>0.75</v>
      </c>
      <c r="D193" s="4">
        <v>0.7</v>
      </c>
      <c r="E193" s="4">
        <v>0.66</v>
      </c>
      <c r="F193" s="4">
        <v>0.61</v>
      </c>
      <c r="G193" s="4">
        <v>0.66</v>
      </c>
      <c r="H193" s="4">
        <v>0.61</v>
      </c>
      <c r="I193" s="4">
        <v>0.53</v>
      </c>
      <c r="J193" s="4">
        <v>0.56000000000000005</v>
      </c>
      <c r="K193" s="4">
        <v>0.59</v>
      </c>
      <c r="L193" s="4">
        <v>0.52</v>
      </c>
      <c r="M193" s="4">
        <v>3.82</v>
      </c>
      <c r="N193" s="4">
        <v>3.56</v>
      </c>
      <c r="O193" s="4">
        <v>3.69</v>
      </c>
      <c r="P193" s="4">
        <v>4.5</v>
      </c>
      <c r="Q193" s="4">
        <v>3.55</v>
      </c>
      <c r="R193" s="4">
        <v>3.11</v>
      </c>
      <c r="S193" s="4">
        <v>2.7</v>
      </c>
      <c r="T193" s="4">
        <v>3.85</v>
      </c>
      <c r="U193" s="4">
        <v>4.3</v>
      </c>
      <c r="V193" s="4">
        <v>4.9000000000000004</v>
      </c>
      <c r="W193" s="4">
        <v>4.9000000000000004</v>
      </c>
      <c r="X193" s="4">
        <v>6.42</v>
      </c>
      <c r="Y193" s="4">
        <v>6.07</v>
      </c>
      <c r="Z193" s="4">
        <v>5.63</v>
      </c>
      <c r="AA193" s="4">
        <v>5.14</v>
      </c>
      <c r="AB193" s="4">
        <v>7.48</v>
      </c>
      <c r="AC193" s="4">
        <v>8.09</v>
      </c>
      <c r="AD193" s="4">
        <v>7.42</v>
      </c>
      <c r="AE193" s="4">
        <v>5.8</v>
      </c>
      <c r="AF193" s="4">
        <v>6.75</v>
      </c>
      <c r="AG193" s="4">
        <v>7.08</v>
      </c>
      <c r="AH193" s="4">
        <v>5.95</v>
      </c>
      <c r="AI193" s="4">
        <v>6.99</v>
      </c>
      <c r="AJ193" s="4">
        <v>6.95</v>
      </c>
      <c r="AK193" s="4">
        <v>6.58</v>
      </c>
      <c r="AL193" s="4">
        <v>6.17</v>
      </c>
      <c r="AM193" s="4">
        <v>6.11</v>
      </c>
      <c r="AN193" s="4">
        <v>6.14</v>
      </c>
      <c r="AO193" s="4">
        <v>5.05</v>
      </c>
      <c r="AP193" s="4">
        <v>5.0999999999999996</v>
      </c>
      <c r="AQ193" s="4">
        <v>5.22</v>
      </c>
      <c r="AR193" s="4">
        <v>5.2</v>
      </c>
      <c r="AS193" s="4">
        <v>5.13</v>
      </c>
      <c r="AT193" s="4">
        <v>5.46</v>
      </c>
      <c r="AU193" s="4">
        <v>5.6550000000000002</v>
      </c>
      <c r="AV193" s="4">
        <v>6.45</v>
      </c>
      <c r="AW193" s="4">
        <v>7.5</v>
      </c>
      <c r="AX193" s="4">
        <v>7.29</v>
      </c>
      <c r="AY193" s="12">
        <v>7</v>
      </c>
      <c r="AZ193" s="12">
        <v>6.6</v>
      </c>
      <c r="BA193" s="12">
        <v>6.63</v>
      </c>
      <c r="BB193" s="15">
        <v>7</v>
      </c>
      <c r="BC193" s="52">
        <v>6.97</v>
      </c>
      <c r="BD193" s="52">
        <v>7.89</v>
      </c>
      <c r="BE193" s="52">
        <v>9</v>
      </c>
      <c r="BF193" s="52">
        <v>8.19</v>
      </c>
      <c r="BG193" s="67">
        <v>7.2</v>
      </c>
      <c r="BH193" s="52">
        <v>7.85</v>
      </c>
      <c r="BI193" s="52">
        <v>7.27</v>
      </c>
      <c r="BJ193" s="52">
        <v>6.59</v>
      </c>
      <c r="BK193" s="52">
        <v>7.39</v>
      </c>
      <c r="BL193" s="52" cm="1">
        <f t="array" aca="1" ref="BL193" ca="1">_FV(EC193,"Preço")</f>
        <v>7.39</v>
      </c>
      <c r="BM193" s="69" t="s">
        <v>189</v>
      </c>
      <c r="BN193" s="36" cm="1">
        <f t="array" aca="1" ref="BN193" ca="1">_FV(EC193,"Média de volume",TRUE)</f>
        <v>29010</v>
      </c>
      <c r="BO193" s="36">
        <v>15000</v>
      </c>
      <c r="BP193" s="36" cm="1">
        <f t="array" aca="1" ref="BP193" ca="1">_FV(EC193,"Volume")</f>
        <v>15000</v>
      </c>
      <c r="BQ193" s="24" cm="1">
        <f t="array" aca="1" ref="BQ193" ca="1">_FV(EC193,"Beta")</f>
        <v>0.54490000000000005</v>
      </c>
      <c r="BR193" s="71" cm="1">
        <f t="array" aca="1" ref="BR193" ca="1">_FV(EC193,"Variação (%)",TRUE)</f>
        <v>-5.0129E-2</v>
      </c>
      <c r="BT193" s="17" cm="1">
        <f t="array" aca="1" ref="BT193" ca="1">_FV(EC193,"Baixo")</f>
        <v>7.38</v>
      </c>
      <c r="BU193" s="17" cm="1">
        <f t="array" aca="1" ref="BU193" ca="1">_FV(EC193,"Alto")</f>
        <v>7.72</v>
      </c>
      <c r="BV193" s="24"/>
      <c r="BW193" s="63" t="e">
        <f ca="1">SQRT(22.5*(BL193/VLOOKUP(BM193,Fundamentus!A:U,3,FALSE))*(BL193/VLOOKUP(BM193,Fundamentus!A:U,4,FALSE)))</f>
        <v>#NUM!</v>
      </c>
      <c r="BY193" s="62">
        <f t="shared" ca="1" si="168"/>
        <v>0</v>
      </c>
      <c r="BZ193" s="8"/>
      <c r="CA193" s="61">
        <f t="shared" si="169"/>
        <v>0.52</v>
      </c>
      <c r="CB193" s="61">
        <f t="shared" si="170"/>
        <v>9</v>
      </c>
      <c r="CC193" s="61">
        <f t="shared" si="171"/>
        <v>5.0008730158730144</v>
      </c>
      <c r="CD193" s="14"/>
      <c r="CE193" s="35">
        <f t="shared" si="154"/>
        <v>6.1592973453838411</v>
      </c>
      <c r="CF193" s="15">
        <f t="shared" si="172"/>
        <v>7.1720000000000255</v>
      </c>
      <c r="CG193" s="35">
        <f t="shared" si="155"/>
        <v>8.1847026546162098</v>
      </c>
      <c r="CI193" s="14"/>
      <c r="CJ193" s="17">
        <f t="shared" si="156"/>
        <v>-6.74</v>
      </c>
      <c r="CK193" s="17">
        <f t="shared" si="157"/>
        <v>-3.1100000000000003</v>
      </c>
      <c r="CL193" s="17">
        <f t="shared" si="158"/>
        <v>1.7400000000000002</v>
      </c>
      <c r="CM193" s="38">
        <f t="shared" si="173"/>
        <v>5.37</v>
      </c>
      <c r="CN193" s="17">
        <f t="shared" si="159"/>
        <v>10.220000000000001</v>
      </c>
      <c r="CO193" s="17">
        <f t="shared" si="160"/>
        <v>13.850000000000001</v>
      </c>
      <c r="CP193" s="17">
        <f t="shared" si="161"/>
        <v>18.7</v>
      </c>
      <c r="CQ193" s="2" cm="1">
        <f t="array" aca="1" ref="CQ193" ca="1">MAX(_xlfn._xlws.FILTER(CJ193:CP193,CJ193:CP193&lt;BL193))</f>
        <v>5.37</v>
      </c>
      <c r="CR193" s="2" cm="1">
        <f t="array" aca="1" ref="CR193" ca="1">MIN(_xlfn._xlws.FILTER($CJ193:$CP193,$CJ193:$CP193&gt;BL193))</f>
        <v>10.220000000000001</v>
      </c>
      <c r="CS193" s="16">
        <f t="shared" ca="1" si="209"/>
        <v>0.90316573556797031</v>
      </c>
      <c r="CT193" s="20">
        <f t="shared" ca="1" si="210"/>
        <v>-0.45158286778398515</v>
      </c>
      <c r="CU193" s="20">
        <f t="shared" ca="1" si="211"/>
        <v>-0.30105524518932342</v>
      </c>
      <c r="CV193" s="20">
        <f t="shared" ca="1" si="212"/>
        <v>-0.18063314711359407</v>
      </c>
      <c r="CW193" s="20">
        <f t="shared" ca="1" si="213"/>
        <v>-0.10035174839644115</v>
      </c>
      <c r="CX193" s="20">
        <f t="shared" ca="1" si="214"/>
        <v>-5.3127396209880606E-2</v>
      </c>
      <c r="CY193" s="20">
        <f t="shared" ca="1" si="215"/>
        <v>-2.7368658653574858E-2</v>
      </c>
      <c r="CZ193" s="20">
        <f t="shared" ca="1" si="216"/>
        <v>-1.3894857470276467E-2</v>
      </c>
      <c r="DA193" s="21">
        <f t="shared" ca="1" si="217"/>
        <v>1.3894857470276467E-2</v>
      </c>
      <c r="DB193" s="21">
        <f t="shared" ca="1" si="218"/>
        <v>2.7368658653574858E-2</v>
      </c>
      <c r="DC193" s="21">
        <f t="shared" ca="1" si="219"/>
        <v>5.3127396209880606E-2</v>
      </c>
      <c r="DD193" s="21">
        <f t="shared" ca="1" si="220"/>
        <v>0.10035174839644115</v>
      </c>
      <c r="DE193" s="21">
        <f t="shared" ca="1" si="221"/>
        <v>0.18063314711359407</v>
      </c>
      <c r="DF193" s="21">
        <f t="shared" ca="1" si="222"/>
        <v>0.30105524518932342</v>
      </c>
      <c r="DG193" s="21">
        <f t="shared" ca="1" si="223"/>
        <v>0.45158286778398515</v>
      </c>
      <c r="DI193" s="16" cm="1">
        <f t="array" aca="1" ref="DI193" ca="1">MAX(_xlfn._xlws.FILTER(CT193:DG193,CT193:DG193&lt;BR193))</f>
        <v>-5.3127396209880606E-2</v>
      </c>
      <c r="DJ193" s="16" cm="1">
        <f t="array" aca="1" ref="DJ193" ca="1">MIN(_xlfn._xlws.FILTER(CT193:DG193,CT193:DG193&gt;BR193))</f>
        <v>-2.7368658653574858E-2</v>
      </c>
      <c r="DK193" s="2" cm="1">
        <f t="array" aca="1" ref="DK193" ca="1">_FV(EC193,"Fechamento anterior",TRUE)</f>
        <v>7.78</v>
      </c>
      <c r="DL193" s="28">
        <f t="shared" ca="1" si="162"/>
        <v>0.11642113667081617</v>
      </c>
      <c r="DM193" s="15">
        <f t="shared" ca="1" si="224"/>
        <v>7.3666688574871291</v>
      </c>
      <c r="DN193" s="15">
        <f t="shared" ca="1" si="225"/>
        <v>7.567071835675188</v>
      </c>
      <c r="DO193" s="9"/>
      <c r="DP193" s="9"/>
      <c r="DQ193" s="9"/>
      <c r="DR193" s="89">
        <v>2.6810428065658198E-2</v>
      </c>
      <c r="DS193" s="89">
        <v>2.5859495603374014E-2</v>
      </c>
      <c r="DT193" s="89">
        <v>2.5758737556305748E-2</v>
      </c>
      <c r="DU193" s="89">
        <v>2.5758737556305748E-2</v>
      </c>
      <c r="DV193" s="89">
        <f t="shared" ca="1" si="163"/>
        <v>2.5758737556305748E-2</v>
      </c>
      <c r="DW193" s="72">
        <f t="shared" ca="1" si="164"/>
        <v>0.21526555599145389</v>
      </c>
      <c r="DX193" s="37"/>
      <c r="DY193" s="35">
        <f t="shared" si="174"/>
        <v>0.50635132730809196</v>
      </c>
      <c r="DZ193" s="56"/>
      <c r="EA193" s="56"/>
      <c r="EC193" s="2" t="e" vm="195">
        <v>#VALUE!</v>
      </c>
      <c r="EE193" s="10" cm="1">
        <f t="array" aca="1" ref="EE193" ca="1">_FV(EC193,"Ações em circulação",TRUE)</f>
        <v>40021020</v>
      </c>
      <c r="EF193" s="18">
        <f>VLOOKUP(BM193,Fundamentus!A:U,5,FALSE)</f>
        <v>6.9340000000000002</v>
      </c>
      <c r="EG193" s="2">
        <f t="shared" ca="1" si="165"/>
        <v>42652918.632823765</v>
      </c>
      <c r="EH193" s="17">
        <v>-88201970.440816253</v>
      </c>
      <c r="EI193" s="17">
        <f t="shared" ca="1" si="166"/>
        <v>-88201970.440816253</v>
      </c>
      <c r="EK193" s="16">
        <f t="shared" ca="1" si="153"/>
        <v>0</v>
      </c>
      <c r="EL193" s="32" t="str">
        <f>IF(VLOOKUP(BM193,Fundamentus!A:U,3,FALSE)&lt;15,"Bom",IF(VLOOKUP(BM193,Fundamentus!A:U,3,FALSE)&gt;15,"Ruim","n/a"))</f>
        <v>Bom</v>
      </c>
      <c r="EM193" s="28" t="str">
        <f>IF(VLOOKUP(BM193,Fundamentus!A:U,4,FALSE)&lt;1,"Baixo",IF(VLOOKUP(BM193,Fundamentus!A:U,4,FALSE)&lt;1.5,"Moderado",IF(VLOOKUP(BM193,Fundamentus!A:U,4,FALSE)&gt;1.5,"Alto","n/a")))</f>
        <v>Alto</v>
      </c>
      <c r="EN193" s="17" t="str">
        <f>IF(VLOOKUP(BM193,Fundamentus!A:U,8,FALSE)&lt;0,"Risco elevado",IF(VLOOKUP(BM193,Fundamentus!A:U,8,FALSE)&lt;1,"Saudável",IF(VLOOKUP(BM193,Fundamentus!A:U,8,FALSE)&lt;3,"Estável",IF(VLOOKUP(BM193,Fundamentus!A:U,8,FALSE)&gt;3,"Alerta","n/a"))))</f>
        <v>Alerta</v>
      </c>
      <c r="EO193" s="28" t="str">
        <f t="shared" si="167"/>
        <v>Bom</v>
      </c>
      <c r="EP193" s="17" t="str">
        <f>IF(VLOOKUP(BM193,Fundamentus!A:U,12,FALSE)&lt;2,"Subvalorizada",IF(VLOOKUP(BM193,Fundamentus!A:U,12,FALSE)&lt;6,"Muita barata",IF(VLOOKUP(BM193,Fundamentus!A:U,12,FALSE)&lt;6,"Barata",IF(VLOOKUP(BM193,Fundamentus!A:U,12,FALSE)&lt;8,"Atrativa",IF(VLOOKUP(BM193,Fundamentus!A:U,12,FALSE)&gt;8,"Supervalorizada","n/a")))))</f>
        <v>Subvalorizada</v>
      </c>
      <c r="ER193" s="17" t="str">
        <f>IF(VLOOKUP(BM193,Fundamentus!A:U,17,FALSE)&lt;0.1,"Fraco retorno",IF(VLOOKUP(BM193,Fundamentus!A:U,17,FALSE)&gt;0.1,"Bom retorno","n/a"))</f>
        <v>Fraco retorno</v>
      </c>
      <c r="ES193" s="17" t="str">
        <f>IF(VLOOKUP(BM193,Fundamentus!A:U,16,FALSE)&lt;0.1,"Ineficiente",IF(VLOOKUP(BM193,Fundamentus!A:U,16,FALSE)&gt;0.1,"Eficiente","n/a"))</f>
        <v>Ineficiente</v>
      </c>
      <c r="ET193" s="33" t="str">
        <f>IF(VLOOKUP(BM193,Fundamentus!A:U,16,FALSE)&lt;0.1,"Oper. Ineficiente",IF(VLOOKUP(BM193,Fundamentus!A:U,16,FALSE)&gt;0.1,"Oper.Eficiente","n/a"))</f>
        <v>Oper. Ineficiente</v>
      </c>
      <c r="EU193" s="34">
        <f>VLOOKUP(BM193,Fundamentus!A:U,14,FALSE)</f>
        <v>-2.0678999999999998</v>
      </c>
      <c r="EV193" s="17" t="str">
        <f>IF(VLOOKUP(BM193,Fundamentus!A:U,21,FALSE)&lt;0,"Negativo",IF(VLOOKUP(BM193,Fundamentus!A:U,21,FALSE)&lt;0.05,"Fraco",IF(VLOOKUP(BM193,Fundamentus!A:U,21,FALSE)&lt;0.1,"Bom",IF(VLOOKUP(BM193,Fundamentus!A:U,21,FALSE)&gt;0.1,"Muito bom","n/a"))))</f>
        <v>Negativo</v>
      </c>
      <c r="EX193" s="29" t="str">
        <f>IF(VLOOKUP(BM193,Fundamentus!A:U,15,FALSE)&gt;1,"Bom",IF(VLOOKUP(BM193,Fundamentus!A:U,15,FALSE)&lt;1,"Ruim","n/a"))</f>
        <v>Bom</v>
      </c>
      <c r="EY193" s="17" t="str">
        <f>IF(VLOOKUP(BM193,Fundamentus!A:U,20,FALSE)&lt;0.5,"Baixa",IF(VLOOKUP(BM193,Fundamentus!A:U,20,FALSE)&lt;1,"Moderada",IF(VLOOKUP(BM193,Fundamentus!A:U,20,FALSE)&lt;2,"Alerta",IF(VLOOKUP(BM193,Fundamentus!A:U,20,FALSE)&gt;2,"Alta","n/a"))))</f>
        <v>Baixa</v>
      </c>
      <c r="EZ193" s="10"/>
    </row>
    <row r="194" spans="1:156" s="2" customFormat="1" ht="11.25" x14ac:dyDescent="0.2">
      <c r="A194" s="4">
        <v>16.37</v>
      </c>
      <c r="B194" s="4">
        <v>15.73</v>
      </c>
      <c r="C194" s="4">
        <v>15.65</v>
      </c>
      <c r="D194" s="4">
        <v>15.3</v>
      </c>
      <c r="E194" s="4">
        <v>14.78</v>
      </c>
      <c r="F194" s="4">
        <v>14.9</v>
      </c>
      <c r="G194" s="4">
        <v>14.6</v>
      </c>
      <c r="H194" s="4">
        <v>14.46</v>
      </c>
      <c r="I194" s="4">
        <v>14.6</v>
      </c>
      <c r="J194" s="4">
        <v>15.03</v>
      </c>
      <c r="K194" s="4">
        <v>15.53</v>
      </c>
      <c r="L194" s="4">
        <v>15.62</v>
      </c>
      <c r="M194" s="4">
        <v>15.56</v>
      </c>
      <c r="N194" s="4">
        <v>15.78</v>
      </c>
      <c r="O194" s="4">
        <v>17.98</v>
      </c>
      <c r="P194" s="4">
        <v>17.75</v>
      </c>
      <c r="Q194" s="4">
        <v>17.73</v>
      </c>
      <c r="R194" s="4">
        <v>17.670000000000002</v>
      </c>
      <c r="S194" s="4">
        <v>18.32</v>
      </c>
      <c r="T194" s="4">
        <v>17.88</v>
      </c>
      <c r="U194" s="4">
        <v>16.8</v>
      </c>
      <c r="V194" s="4">
        <v>16.98</v>
      </c>
      <c r="W194" s="4">
        <v>16.93</v>
      </c>
      <c r="X194" s="4">
        <v>16.350000000000001</v>
      </c>
      <c r="Y194" s="4">
        <v>16.260000000000002</v>
      </c>
      <c r="Z194" s="4">
        <v>16.23</v>
      </c>
      <c r="AA194" s="4">
        <v>16.34</v>
      </c>
      <c r="AB194" s="4">
        <v>16.3</v>
      </c>
      <c r="AC194" s="4">
        <v>16.100000000000001</v>
      </c>
      <c r="AD194" s="4">
        <v>16.14</v>
      </c>
      <c r="AE194" s="4">
        <v>16.350000000000001</v>
      </c>
      <c r="AF194" s="4">
        <v>16.190000000000001</v>
      </c>
      <c r="AG194" s="4">
        <v>15.97</v>
      </c>
      <c r="AH194" s="4">
        <v>15.74</v>
      </c>
      <c r="AI194" s="4">
        <v>15.81</v>
      </c>
      <c r="AJ194" s="4">
        <v>15</v>
      </c>
      <c r="AK194" s="4">
        <v>15.79</v>
      </c>
      <c r="AL194" s="4">
        <v>16.510000000000002</v>
      </c>
      <c r="AM194" s="4">
        <v>16.79</v>
      </c>
      <c r="AN194" s="4">
        <v>17.010000000000002</v>
      </c>
      <c r="AO194" s="4">
        <v>16.649999999999999</v>
      </c>
      <c r="AP194" s="4">
        <v>17.03</v>
      </c>
      <c r="AQ194" s="4">
        <v>16.68</v>
      </c>
      <c r="AR194" s="4">
        <v>15.79</v>
      </c>
      <c r="AS194" s="4">
        <v>16.760000000000002</v>
      </c>
      <c r="AT194" s="4">
        <v>16</v>
      </c>
      <c r="AU194" s="4">
        <v>16.085000000000001</v>
      </c>
      <c r="AV194" s="4">
        <v>16.23</v>
      </c>
      <c r="AW194" s="4">
        <v>15.21</v>
      </c>
      <c r="AX194" s="4">
        <v>15.38</v>
      </c>
      <c r="AY194" s="12">
        <v>16.649999999999999</v>
      </c>
      <c r="AZ194" s="12">
        <v>17.100000000000001</v>
      </c>
      <c r="BA194" s="12">
        <v>16.8</v>
      </c>
      <c r="BB194" s="15">
        <v>20.3</v>
      </c>
      <c r="BC194" s="52">
        <v>21.38</v>
      </c>
      <c r="BD194" s="52">
        <v>20.32</v>
      </c>
      <c r="BE194" s="52">
        <v>20.3</v>
      </c>
      <c r="BF194" s="52">
        <v>19.61</v>
      </c>
      <c r="BG194" s="67">
        <v>19.5</v>
      </c>
      <c r="BH194" s="52">
        <v>19.7</v>
      </c>
      <c r="BI194" s="52">
        <v>20.71</v>
      </c>
      <c r="BJ194" s="52">
        <v>21.88</v>
      </c>
      <c r="BK194" s="52">
        <v>20.2</v>
      </c>
      <c r="BL194" s="52" cm="1">
        <f t="array" aca="1" ref="BL194" ca="1">_FV(EC194,"Preço")</f>
        <v>20.2</v>
      </c>
      <c r="BM194" s="69" t="s">
        <v>190</v>
      </c>
      <c r="BN194" s="36" cm="1">
        <f t="array" aca="1" ref="BN194" ca="1">_FV(EC194,"Média de volume",TRUE)</f>
        <v>459800</v>
      </c>
      <c r="BO194" s="36">
        <v>399100</v>
      </c>
      <c r="BP194" s="36" cm="1">
        <f t="array" aca="1" ref="BP194" ca="1">_FV(EC194,"Volume")</f>
        <v>399100</v>
      </c>
      <c r="BQ194" s="24" cm="1">
        <f t="array" aca="1" ref="BQ194" ca="1">_FV(EC194,"Beta")</f>
        <v>0.8901</v>
      </c>
      <c r="BR194" s="71" cm="1">
        <f t="array" aca="1" ref="BR194" ca="1">_FV(EC194,"Variação (%)",TRUE)</f>
        <v>-1.6552999999999998E-2</v>
      </c>
      <c r="BT194" s="17" cm="1">
        <f t="array" aca="1" ref="BT194" ca="1">_FV(EC194,"Baixo")</f>
        <v>20.170000000000002</v>
      </c>
      <c r="BU194" s="17" cm="1">
        <f t="array" aca="1" ref="BU194" ca="1">_FV(EC194,"Alto")</f>
        <v>20.59</v>
      </c>
      <c r="BV194" s="24"/>
      <c r="BW194" s="63">
        <f ca="1">SQRT(22.5*(BL194/VLOOKUP(BM194,Fundamentus!A:U,3,FALSE))*(BL194/VLOOKUP(BM194,Fundamentus!A:U,4,FALSE)))</f>
        <v>20.278562624680408</v>
      </c>
      <c r="BY194" s="62">
        <f t="shared" ca="1" si="168"/>
        <v>0</v>
      </c>
      <c r="BZ194" s="8"/>
      <c r="CA194" s="61">
        <f t="shared" si="169"/>
        <v>14.46</v>
      </c>
      <c r="CB194" s="61">
        <f t="shared" si="170"/>
        <v>21.88</v>
      </c>
      <c r="CC194" s="61">
        <f t="shared" si="171"/>
        <v>16.874523809523811</v>
      </c>
      <c r="CD194" s="14"/>
      <c r="CE194" s="35">
        <f t="shared" si="154"/>
        <v>19.093886218629443</v>
      </c>
      <c r="CF194" s="15">
        <f t="shared" si="172"/>
        <v>20.756000000000085</v>
      </c>
      <c r="CG194" s="35">
        <f t="shared" si="155"/>
        <v>22.418113781370728</v>
      </c>
      <c r="CI194" s="14"/>
      <c r="CJ194" s="17">
        <f t="shared" si="156"/>
        <v>9.5133333333333354</v>
      </c>
      <c r="CK194" s="17">
        <f t="shared" si="157"/>
        <v>11.986666666666668</v>
      </c>
      <c r="CL194" s="17">
        <f t="shared" si="158"/>
        <v>16.933333333333334</v>
      </c>
      <c r="CM194" s="38">
        <f t="shared" si="173"/>
        <v>19.406666666666666</v>
      </c>
      <c r="CN194" s="17">
        <f t="shared" si="159"/>
        <v>24.353333333333332</v>
      </c>
      <c r="CO194" s="17">
        <f t="shared" si="160"/>
        <v>26.826666666666664</v>
      </c>
      <c r="CP194" s="17">
        <f t="shared" si="161"/>
        <v>31.77333333333333</v>
      </c>
      <c r="CQ194" s="2" cm="1">
        <f t="array" aca="1" ref="CQ194" ca="1">MAX(_xlfn._xlws.FILTER(CJ194:CP194,CJ194:CP194&lt;BL194))</f>
        <v>19.406666666666666</v>
      </c>
      <c r="CR194" s="2" cm="1">
        <f t="array" aca="1" ref="CR194" ca="1">MIN(_xlfn._xlws.FILTER($CJ194:$CP194,$CJ194:$CP194&gt;BL194))</f>
        <v>24.353333333333332</v>
      </c>
      <c r="CS194" s="16">
        <f t="shared" ca="1" si="209"/>
        <v>0.25489522500858808</v>
      </c>
      <c r="CT194" s="20">
        <f t="shared" ca="1" si="210"/>
        <v>-0.12744761250429404</v>
      </c>
      <c r="CU194" s="20">
        <f t="shared" ca="1" si="211"/>
        <v>-8.4965075002862697E-2</v>
      </c>
      <c r="CV194" s="20">
        <f t="shared" ca="1" si="212"/>
        <v>-5.0979045001717613E-2</v>
      </c>
      <c r="CW194" s="20">
        <f t="shared" ca="1" si="213"/>
        <v>-2.8321691667620899E-2</v>
      </c>
      <c r="CX194" s="20">
        <f t="shared" ca="1" si="214"/>
        <v>-1.4993836765211063E-2</v>
      </c>
      <c r="CY194" s="20">
        <f t="shared" ca="1" si="215"/>
        <v>-7.7240977275329723E-3</v>
      </c>
      <c r="CZ194" s="20">
        <f t="shared" ca="1" si="216"/>
        <v>-3.9214650001321242E-3</v>
      </c>
      <c r="DA194" s="21">
        <f t="shared" ca="1" si="217"/>
        <v>3.9214650001321242E-3</v>
      </c>
      <c r="DB194" s="21">
        <f t="shared" ca="1" si="218"/>
        <v>7.7240977275329723E-3</v>
      </c>
      <c r="DC194" s="21">
        <f t="shared" ca="1" si="219"/>
        <v>1.4993836765211063E-2</v>
      </c>
      <c r="DD194" s="21">
        <f t="shared" ca="1" si="220"/>
        <v>2.8321691667620899E-2</v>
      </c>
      <c r="DE194" s="21">
        <f t="shared" ca="1" si="221"/>
        <v>5.0979045001717613E-2</v>
      </c>
      <c r="DF194" s="21">
        <f t="shared" ca="1" si="222"/>
        <v>8.4965075002862697E-2</v>
      </c>
      <c r="DG194" s="21">
        <f t="shared" ca="1" si="223"/>
        <v>0.12744761250429404</v>
      </c>
      <c r="DI194" s="16" cm="1">
        <f t="array" aca="1" ref="DI194" ca="1">MAX(_xlfn._xlws.FILTER(CT194:DG194,CT194:DG194&lt;BR194))</f>
        <v>-2.8321691667620899E-2</v>
      </c>
      <c r="DJ194" s="16" cm="1">
        <f t="array" aca="1" ref="DJ194" ca="1">MIN(_xlfn._xlws.FILTER(CT194:DG194,CT194:DG194&gt;BR194))</f>
        <v>-1.4993836765211063E-2</v>
      </c>
      <c r="DK194" s="2" cm="1">
        <f t="array" aca="1" ref="DK194" ca="1">_FV(EC194,"Fechamento anterior",TRUE)</f>
        <v>20.54</v>
      </c>
      <c r="DL194" s="28">
        <f t="shared" ca="1" si="162"/>
        <v>0.88300964917575298</v>
      </c>
      <c r="DM194" s="15">
        <f t="shared" ca="1" si="224"/>
        <v>19.958272453147067</v>
      </c>
      <c r="DN194" s="15">
        <f t="shared" ca="1" si="225"/>
        <v>20.232026592842566</v>
      </c>
      <c r="DO194" s="9"/>
      <c r="DP194" s="9"/>
      <c r="DQ194" s="9"/>
      <c r="DR194" s="89">
        <v>8.8431209807551953E-3</v>
      </c>
      <c r="DS194" s="89">
        <v>6.1638086255956558E-3</v>
      </c>
      <c r="DT194" s="89">
        <v>7.2697390376780906E-3</v>
      </c>
      <c r="DU194" s="89">
        <v>1.3327854902409836E-2</v>
      </c>
      <c r="DV194" s="89">
        <f t="shared" ca="1" si="163"/>
        <v>1.3327854902409836E-2</v>
      </c>
      <c r="DW194" s="72">
        <f t="shared" ca="1" si="164"/>
        <v>-0.33451380178172119</v>
      </c>
      <c r="DX194" s="37"/>
      <c r="DY194" s="35">
        <f t="shared" si="174"/>
        <v>0.83105689068532218</v>
      </c>
      <c r="DZ194" s="56"/>
      <c r="EA194" s="56"/>
      <c r="EC194" s="2" t="e" vm="196">
        <v>#VALUE!</v>
      </c>
      <c r="EE194" s="10" cm="1">
        <f t="array" aca="1" ref="EE194" ca="1">_FV(EC194,"Ações em circulação",TRUE)</f>
        <v>275536300</v>
      </c>
      <c r="EF194" s="18">
        <f>VLOOKUP(BM194,Fundamentus!A:U,5,FALSE)</f>
        <v>1.704</v>
      </c>
      <c r="EG194" s="2">
        <f t="shared" ca="1" si="165"/>
        <v>3266334072.7699533</v>
      </c>
      <c r="EH194" s="17">
        <v>608518037.75704229</v>
      </c>
      <c r="EI194" s="17">
        <f t="shared" ca="1" si="166"/>
        <v>608518037.75704229</v>
      </c>
      <c r="EK194" s="16">
        <f t="shared" ca="1" si="153"/>
        <v>0</v>
      </c>
      <c r="EL194" s="32" t="str">
        <f>IF(VLOOKUP(BM194,Fundamentus!A:U,3,FALSE)&lt;15,"Bom",IF(VLOOKUP(BM194,Fundamentus!A:U,3,FALSE)&gt;15,"Ruim","n/a"))</f>
        <v>Bom</v>
      </c>
      <c r="EM194" s="28" t="str">
        <f>IF(VLOOKUP(BM194,Fundamentus!A:U,4,FALSE)&lt;1,"Baixo",IF(VLOOKUP(BM194,Fundamentus!A:U,4,FALSE)&lt;1.5,"Moderado",IF(VLOOKUP(BM194,Fundamentus!A:U,4,FALSE)&gt;1.5,"Alto","n/a")))</f>
        <v>Alto</v>
      </c>
      <c r="EN194" s="17" t="str">
        <f>IF(VLOOKUP(BM194,Fundamentus!A:U,8,FALSE)&lt;0,"Risco elevado",IF(VLOOKUP(BM194,Fundamentus!A:U,8,FALSE)&lt;1,"Saudável",IF(VLOOKUP(BM194,Fundamentus!A:U,8,FALSE)&lt;3,"Estável",IF(VLOOKUP(BM194,Fundamentus!A:U,8,FALSE)&gt;3,"Alerta","n/a"))))</f>
        <v>Alerta</v>
      </c>
      <c r="EO194" s="28" t="str">
        <f t="shared" si="167"/>
        <v>Bom</v>
      </c>
      <c r="EP194" s="17" t="str">
        <f>IF(VLOOKUP(BM194,Fundamentus!A:U,12,FALSE)&lt;2,"Subvalorizada",IF(VLOOKUP(BM194,Fundamentus!A:U,12,FALSE)&lt;6,"Muita barata",IF(VLOOKUP(BM194,Fundamentus!A:U,12,FALSE)&lt;6,"Barata",IF(VLOOKUP(BM194,Fundamentus!A:U,12,FALSE)&lt;8,"Atrativa",IF(VLOOKUP(BM194,Fundamentus!A:U,12,FALSE)&gt;8,"Supervalorizada","n/a")))))</f>
        <v>Supervalorizada</v>
      </c>
      <c r="ER194" s="17" t="str">
        <f>IF(VLOOKUP(BM194,Fundamentus!A:U,17,FALSE)&lt;0.1,"Fraco retorno",IF(VLOOKUP(BM194,Fundamentus!A:U,17,FALSE)&gt;0.1,"Bom retorno","n/a"))</f>
        <v>Bom retorno</v>
      </c>
      <c r="ES194" s="17" t="str">
        <f>IF(VLOOKUP(BM194,Fundamentus!A:U,16,FALSE)&lt;0.1,"Ineficiente",IF(VLOOKUP(BM194,Fundamentus!A:U,16,FALSE)&gt;0.1,"Eficiente","n/a"))</f>
        <v>Eficiente</v>
      </c>
      <c r="ET194" s="33" t="str">
        <f>IF(VLOOKUP(BM194,Fundamentus!A:U,16,FALSE)&lt;0.1,"Oper. Ineficiente",IF(VLOOKUP(BM194,Fundamentus!A:U,16,FALSE)&gt;0.1,"Oper.Eficiente","n/a"))</f>
        <v>Oper.Eficiente</v>
      </c>
      <c r="EU194" s="34">
        <f>VLOOKUP(BM194,Fundamentus!A:U,14,FALSE)</f>
        <v>0.18629999999999999</v>
      </c>
      <c r="EV194" s="17" t="str">
        <f>IF(VLOOKUP(BM194,Fundamentus!A:U,21,FALSE)&lt;0,"Negativo",IF(VLOOKUP(BM194,Fundamentus!A:U,21,FALSE)&lt;0.05,"Fraco",IF(VLOOKUP(BM194,Fundamentus!A:U,21,FALSE)&lt;0.1,"Bom",IF(VLOOKUP(BM194,Fundamentus!A:U,21,FALSE)&gt;0.1,"Muito bom","n/a"))))</f>
        <v>Muito bom</v>
      </c>
      <c r="EX194" s="29" t="str">
        <f>IF(VLOOKUP(BM194,Fundamentus!A:U,15,FALSE)&gt;1,"Bom",IF(VLOOKUP(BM194,Fundamentus!A:U,15,FALSE)&lt;1,"Ruim","n/a"))</f>
        <v>Bom</v>
      </c>
      <c r="EY194" s="17" t="str">
        <f>IF(VLOOKUP(BM194,Fundamentus!A:U,20,FALSE)&lt;0.5,"Baixa",IF(VLOOKUP(BM194,Fundamentus!A:U,20,FALSE)&lt;1,"Moderada",IF(VLOOKUP(BM194,Fundamentus!A:U,20,FALSE)&lt;2,"Alerta",IF(VLOOKUP(BM194,Fundamentus!A:U,20,FALSE)&gt;2,"Alta","n/a"))))</f>
        <v>Baixa</v>
      </c>
      <c r="EZ194" s="10"/>
    </row>
    <row r="195" spans="1:156" s="2" customFormat="1" ht="11.25" x14ac:dyDescent="0.2">
      <c r="A195" s="4">
        <v>1.37</v>
      </c>
      <c r="B195" s="4">
        <v>1.41</v>
      </c>
      <c r="C195" s="4">
        <v>1.63</v>
      </c>
      <c r="D195" s="4">
        <v>1.66</v>
      </c>
      <c r="E195" s="4">
        <v>1.62</v>
      </c>
      <c r="F195" s="4">
        <v>1.53</v>
      </c>
      <c r="G195" s="4">
        <v>1.59</v>
      </c>
      <c r="H195" s="4">
        <v>1.55</v>
      </c>
      <c r="I195" s="4">
        <v>1.56</v>
      </c>
      <c r="J195" s="4">
        <v>1.69</v>
      </c>
      <c r="K195" s="4">
        <v>1.7</v>
      </c>
      <c r="L195" s="4">
        <v>1.72</v>
      </c>
      <c r="M195" s="4">
        <v>1.79</v>
      </c>
      <c r="N195" s="4">
        <v>1.71</v>
      </c>
      <c r="O195" s="4">
        <v>1.69</v>
      </c>
      <c r="P195" s="4">
        <v>1.55</v>
      </c>
      <c r="Q195" s="4">
        <v>1.6</v>
      </c>
      <c r="R195" s="4">
        <v>1.52</v>
      </c>
      <c r="S195" s="4">
        <v>1.5</v>
      </c>
      <c r="T195" s="4">
        <v>1.45</v>
      </c>
      <c r="U195" s="4">
        <v>1.41</v>
      </c>
      <c r="V195" s="4">
        <v>1.41</v>
      </c>
      <c r="W195" s="4">
        <v>1.4</v>
      </c>
      <c r="X195" s="4">
        <v>1.43</v>
      </c>
      <c r="Y195" s="4">
        <v>1.39</v>
      </c>
      <c r="Z195" s="4">
        <v>1.5</v>
      </c>
      <c r="AA195" s="4">
        <v>1.43</v>
      </c>
      <c r="AB195" s="4">
        <v>1.39</v>
      </c>
      <c r="AC195" s="4">
        <v>1.34</v>
      </c>
      <c r="AD195" s="4">
        <v>1.42</v>
      </c>
      <c r="AE195" s="4">
        <v>1.32</v>
      </c>
      <c r="AF195" s="4">
        <v>1.33</v>
      </c>
      <c r="AG195" s="4">
        <v>1.28</v>
      </c>
      <c r="AH195" s="4">
        <v>1.21</v>
      </c>
      <c r="AI195" s="4">
        <v>1.19</v>
      </c>
      <c r="AJ195" s="4">
        <v>1.22</v>
      </c>
      <c r="AK195" s="4">
        <v>1.26</v>
      </c>
      <c r="AL195" s="4">
        <v>1.25</v>
      </c>
      <c r="AM195" s="4">
        <v>1.28</v>
      </c>
      <c r="AN195" s="4">
        <v>1.28</v>
      </c>
      <c r="AO195" s="4">
        <v>1.28</v>
      </c>
      <c r="AP195" s="4">
        <v>1.28</v>
      </c>
      <c r="AQ195" s="4">
        <v>1.26</v>
      </c>
      <c r="AR195" s="4">
        <v>1.24</v>
      </c>
      <c r="AS195" s="4">
        <v>1.19</v>
      </c>
      <c r="AT195" s="4">
        <v>1.21</v>
      </c>
      <c r="AU195" s="4">
        <v>1.39</v>
      </c>
      <c r="AV195" s="4">
        <v>1.31</v>
      </c>
      <c r="AW195" s="4">
        <v>1.28</v>
      </c>
      <c r="AX195" s="4">
        <v>1.26</v>
      </c>
      <c r="AY195" s="12">
        <v>1.29</v>
      </c>
      <c r="AZ195" s="12">
        <v>1.29</v>
      </c>
      <c r="BA195" s="12">
        <v>1.29</v>
      </c>
      <c r="BB195" s="15">
        <v>1.25</v>
      </c>
      <c r="BC195" s="52">
        <v>1.25</v>
      </c>
      <c r="BD195" s="52">
        <v>1.23</v>
      </c>
      <c r="BE195" s="52">
        <v>1.22</v>
      </c>
      <c r="BF195" s="52">
        <v>1.22</v>
      </c>
      <c r="BG195" s="67">
        <v>1.21</v>
      </c>
      <c r="BH195" s="52">
        <v>1.2</v>
      </c>
      <c r="BI195" s="52">
        <v>1.21</v>
      </c>
      <c r="BJ195" s="52">
        <v>1.2</v>
      </c>
      <c r="BK195" s="52">
        <v>1.19</v>
      </c>
      <c r="BL195" s="52" cm="1">
        <f t="array" aca="1" ref="BL195" ca="1">_FV(EC195,"Preço")</f>
        <v>1.19</v>
      </c>
      <c r="BM195" s="69" t="s">
        <v>191</v>
      </c>
      <c r="BN195" s="36" cm="1">
        <f t="array" aca="1" ref="BN195" ca="1">_FV(EC195,"Média de volume",TRUE)</f>
        <v>30840</v>
      </c>
      <c r="BO195" s="36">
        <v>92000</v>
      </c>
      <c r="BP195" s="36" cm="1">
        <f t="array" aca="1" ref="BP195" ca="1">_FV(EC195,"Volume")</f>
        <v>92000</v>
      </c>
      <c r="BQ195" s="24" cm="1">
        <f t="array" aca="1" ref="BQ195" ca="1">_FV(EC195,"Beta")</f>
        <v>1.8073999999999999</v>
      </c>
      <c r="BR195" s="71" cm="1">
        <f t="array" aca="1" ref="BR195" ca="1">_FV(EC195,"Variação (%)",TRUE)</f>
        <v>8.4749999999999999E-3</v>
      </c>
      <c r="BT195" s="17" cm="1">
        <f t="array" aca="1" ref="BT195" ca="1">_FV(EC195,"Baixo")</f>
        <v>1.17</v>
      </c>
      <c r="BU195" s="17" cm="1">
        <f t="array" aca="1" ref="BU195" ca="1">_FV(EC195,"Alto")</f>
        <v>1.21</v>
      </c>
      <c r="BV195" s="24"/>
      <c r="BW195" s="63" t="e">
        <f ca="1">SQRT(22.5*(BL195/VLOOKUP(BM195,Fundamentus!A:U,3,FALSE))*(BL195/VLOOKUP(BM195,Fundamentus!A:U,4,FALSE)))</f>
        <v>#NUM!</v>
      </c>
      <c r="BY195" s="62">
        <f t="shared" ca="1" si="168"/>
        <v>0</v>
      </c>
      <c r="BZ195" s="8"/>
      <c r="CA195" s="61">
        <f t="shared" si="169"/>
        <v>1.19</v>
      </c>
      <c r="CB195" s="61">
        <f t="shared" si="170"/>
        <v>1.79</v>
      </c>
      <c r="CC195" s="61">
        <f t="shared" si="171"/>
        <v>1.3861904761904764</v>
      </c>
      <c r="CD195" s="14"/>
      <c r="CE195" s="35">
        <f t="shared" si="154"/>
        <v>1.1788514578448737</v>
      </c>
      <c r="CF195" s="15">
        <f t="shared" si="172"/>
        <v>1.1980000000000004</v>
      </c>
      <c r="CG195" s="35">
        <f t="shared" si="155"/>
        <v>1.2171485421551271</v>
      </c>
      <c r="CI195" s="14"/>
      <c r="CJ195" s="17">
        <f t="shared" si="156"/>
        <v>0.3966666666666665</v>
      </c>
      <c r="CK195" s="17">
        <f t="shared" si="157"/>
        <v>0.79333333333333322</v>
      </c>
      <c r="CL195" s="17">
        <f t="shared" si="158"/>
        <v>0.99666666666666659</v>
      </c>
      <c r="CM195" s="38">
        <f t="shared" si="173"/>
        <v>1.3933333333333333</v>
      </c>
      <c r="CN195" s="17">
        <f t="shared" si="159"/>
        <v>1.5966666666666667</v>
      </c>
      <c r="CO195" s="17">
        <f t="shared" si="160"/>
        <v>1.9933333333333334</v>
      </c>
      <c r="CP195" s="17">
        <f t="shared" si="161"/>
        <v>2.1966666666666668</v>
      </c>
      <c r="CQ195" s="2" cm="1">
        <f t="array" aca="1" ref="CQ195" ca="1">MAX(_xlfn._xlws.FILTER(CJ195:CP195,CJ195:CP195&lt;BL195))</f>
        <v>0.99666666666666659</v>
      </c>
      <c r="CR195" s="2" cm="1">
        <f t="array" aca="1" ref="CR195" ca="1">MIN(_xlfn._xlws.FILTER($CJ195:$CP195,$CJ195:$CP195&gt;BL195))</f>
        <v>1.3933333333333333</v>
      </c>
      <c r="CS195" s="16">
        <f t="shared" ca="1" si="209"/>
        <v>0.39799331103678948</v>
      </c>
      <c r="CT195" s="20">
        <f t="shared" ca="1" si="210"/>
        <v>-0.19899665551839474</v>
      </c>
      <c r="CU195" s="20">
        <f t="shared" ca="1" si="211"/>
        <v>-0.13266443701226316</v>
      </c>
      <c r="CV195" s="20">
        <f t="shared" ca="1" si="212"/>
        <v>-7.9598662207357895E-2</v>
      </c>
      <c r="CW195" s="20">
        <f t="shared" ca="1" si="213"/>
        <v>-4.4221479004087717E-2</v>
      </c>
      <c r="CX195" s="20">
        <f t="shared" ca="1" si="214"/>
        <v>-2.3411371237458206E-2</v>
      </c>
      <c r="CY195" s="20">
        <f t="shared" ca="1" si="215"/>
        <v>-1.2060403364751197E-2</v>
      </c>
      <c r="CZ195" s="20">
        <f t="shared" ca="1" si="216"/>
        <v>-6.1229740159506069E-3</v>
      </c>
      <c r="DA195" s="21">
        <f t="shared" ca="1" si="217"/>
        <v>6.1229740159506069E-3</v>
      </c>
      <c r="DB195" s="21">
        <f t="shared" ca="1" si="218"/>
        <v>1.2060403364751197E-2</v>
      </c>
      <c r="DC195" s="21">
        <f t="shared" ca="1" si="219"/>
        <v>2.3411371237458206E-2</v>
      </c>
      <c r="DD195" s="21">
        <f t="shared" ca="1" si="220"/>
        <v>4.4221479004087717E-2</v>
      </c>
      <c r="DE195" s="21">
        <f t="shared" ca="1" si="221"/>
        <v>7.9598662207357895E-2</v>
      </c>
      <c r="DF195" s="21">
        <f t="shared" ca="1" si="222"/>
        <v>0.13266443701226316</v>
      </c>
      <c r="DG195" s="21">
        <f t="shared" ca="1" si="223"/>
        <v>0.19899665551839474</v>
      </c>
      <c r="DI195" s="16" cm="1">
        <f t="array" aca="1" ref="DI195" ca="1">MAX(_xlfn._xlws.FILTER(CT195:DG195,CT195:DG195&lt;BR195))</f>
        <v>6.1229740159506069E-3</v>
      </c>
      <c r="DJ195" s="16" cm="1">
        <f t="array" aca="1" ref="DJ195" ca="1">MIN(_xlfn._xlws.FILTER(CT195:DG195,CT195:DG195&gt;BR195))</f>
        <v>1.2060403364751197E-2</v>
      </c>
      <c r="DK195" s="2" cm="1">
        <f t="array" aca="1" ref="DK195" ca="1">_FV(EC195,"Fechamento anterior",TRUE)</f>
        <v>1.18</v>
      </c>
      <c r="DL195" s="28">
        <f t="shared" ca="1" si="162"/>
        <v>0.39606404002278134</v>
      </c>
      <c r="DM195" s="15">
        <f t="shared" ca="1" si="224"/>
        <v>1.1872251093388217</v>
      </c>
      <c r="DN195" s="15">
        <f t="shared" ca="1" si="225"/>
        <v>1.1942312759704063</v>
      </c>
      <c r="DO195" s="9"/>
      <c r="DP195" s="9"/>
      <c r="DQ195" s="9"/>
      <c r="DR195" s="89">
        <v>8.73600873600874E-3</v>
      </c>
      <c r="DS195" s="89">
        <v>1.1180793670533762E-2</v>
      </c>
      <c r="DT195" s="89">
        <v>1.1350967872707009E-2</v>
      </c>
      <c r="DU195" s="89">
        <v>5.9374293488005901E-3</v>
      </c>
      <c r="DV195" s="89">
        <f t="shared" ca="1" si="163"/>
        <v>5.9374293488005901E-3</v>
      </c>
      <c r="DW195" s="72">
        <f t="shared" ca="1" si="164"/>
        <v>-0.41778637429369897</v>
      </c>
      <c r="DX195" s="37"/>
      <c r="DY195" s="35">
        <f t="shared" si="174"/>
        <v>9.5742710775633903E-3</v>
      </c>
      <c r="DZ195" s="56"/>
      <c r="EA195" s="56"/>
      <c r="EC195" s="2" t="e" vm="197">
        <v>#VALUE!</v>
      </c>
      <c r="EE195" s="10" cm="1">
        <f t="array" aca="1" ref="EE195" ca="1">_FV(EC195,"Ações em circulação",TRUE)</f>
        <v>43716190</v>
      </c>
      <c r="EF195" s="18">
        <f>VLOOKUP(BM195,Fundamentus!A:U,5,FALSE)</f>
        <v>0.496</v>
      </c>
      <c r="EG195" s="2">
        <f t="shared" ca="1" si="165"/>
        <v>104883601.00806451</v>
      </c>
      <c r="EH195" s="17">
        <v>-35198936.498306453</v>
      </c>
      <c r="EI195" s="17">
        <f t="shared" ca="1" si="166"/>
        <v>-35198936.498306453</v>
      </c>
      <c r="EK195" s="16">
        <f t="shared" ref="EK195:EK258" ca="1" si="226">(EI195/EH195)-1</f>
        <v>0</v>
      </c>
      <c r="EL195" s="32" t="str">
        <f>IF(VLOOKUP(BM195,Fundamentus!A:U,3,FALSE)&lt;15,"Bom",IF(VLOOKUP(BM195,Fundamentus!A:U,3,FALSE)&gt;15,"Ruim","n/a"))</f>
        <v>Bom</v>
      </c>
      <c r="EM195" s="28" t="str">
        <f>IF(VLOOKUP(BM195,Fundamentus!A:U,4,FALSE)&lt;1,"Baixo",IF(VLOOKUP(BM195,Fundamentus!A:U,4,FALSE)&lt;1.5,"Moderado",IF(VLOOKUP(BM195,Fundamentus!A:U,4,FALSE)&gt;1.5,"Alto","n/a")))</f>
        <v>Baixo</v>
      </c>
      <c r="EN195" s="17" t="str">
        <f>IF(VLOOKUP(BM195,Fundamentus!A:U,8,FALSE)&lt;0,"Risco elevado",IF(VLOOKUP(BM195,Fundamentus!A:U,8,FALSE)&lt;1,"Saudável",IF(VLOOKUP(BM195,Fundamentus!A:U,8,FALSE)&lt;3,"Estável",IF(VLOOKUP(BM195,Fundamentus!A:U,8,FALSE)&gt;3,"Alerta","n/a"))))</f>
        <v>Alerta</v>
      </c>
      <c r="EO195" s="28" t="str">
        <f t="shared" si="167"/>
        <v>Ruim</v>
      </c>
      <c r="EP195" s="17" t="str">
        <f>IF(VLOOKUP(BM195,Fundamentus!A:U,12,FALSE)&lt;2,"Subvalorizada",IF(VLOOKUP(BM195,Fundamentus!A:U,12,FALSE)&lt;6,"Muita barata",IF(VLOOKUP(BM195,Fundamentus!A:U,12,FALSE)&lt;6,"Barata",IF(VLOOKUP(BM195,Fundamentus!A:U,12,FALSE)&lt;8,"Atrativa",IF(VLOOKUP(BM195,Fundamentus!A:U,12,FALSE)&gt;8,"Supervalorizada","n/a")))))</f>
        <v>Subvalorizada</v>
      </c>
      <c r="ER195" s="17" t="str">
        <f>IF(VLOOKUP(BM195,Fundamentus!A:U,17,FALSE)&lt;0.1,"Fraco retorno",IF(VLOOKUP(BM195,Fundamentus!A:U,17,FALSE)&gt;0.1,"Bom retorno","n/a"))</f>
        <v>Fraco retorno</v>
      </c>
      <c r="ES195" s="17" t="str">
        <f>IF(VLOOKUP(BM195,Fundamentus!A:U,16,FALSE)&lt;0.1,"Ineficiente",IF(VLOOKUP(BM195,Fundamentus!A:U,16,FALSE)&gt;0.1,"Eficiente","n/a"))</f>
        <v>Ineficiente</v>
      </c>
      <c r="ET195" s="33" t="str">
        <f>IF(VLOOKUP(BM195,Fundamentus!A:U,16,FALSE)&lt;0.1,"Oper. Ineficiente",IF(VLOOKUP(BM195,Fundamentus!A:U,16,FALSE)&gt;0.1,"Oper.Eficiente","n/a"))</f>
        <v>Oper. Ineficiente</v>
      </c>
      <c r="EU195" s="34">
        <f>VLOOKUP(BM195,Fundamentus!A:U,14,FALSE)</f>
        <v>-0.33560000000000001</v>
      </c>
      <c r="EV195" s="17" t="str">
        <f>IF(VLOOKUP(BM195,Fundamentus!A:U,21,FALSE)&lt;0,"Negativo",IF(VLOOKUP(BM195,Fundamentus!A:U,21,FALSE)&lt;0.05,"Fraco",IF(VLOOKUP(BM195,Fundamentus!A:U,21,FALSE)&lt;0.1,"Bom",IF(VLOOKUP(BM195,Fundamentus!A:U,21,FALSE)&gt;0.1,"Muito bom","n/a"))))</f>
        <v>Muito bom</v>
      </c>
      <c r="EX195" s="29" t="str">
        <f>IF(VLOOKUP(BM195,Fundamentus!A:U,15,FALSE)&gt;1,"Bom",IF(VLOOKUP(BM195,Fundamentus!A:U,15,FALSE)&lt;1,"Ruim","n/a"))</f>
        <v>Bom</v>
      </c>
      <c r="EY195" s="17" t="str">
        <f>IF(VLOOKUP(BM195,Fundamentus!A:U,20,FALSE)&lt;0.5,"Baixa",IF(VLOOKUP(BM195,Fundamentus!A:U,20,FALSE)&lt;1,"Moderada",IF(VLOOKUP(BM195,Fundamentus!A:U,20,FALSE)&lt;2,"Alerta",IF(VLOOKUP(BM195,Fundamentus!A:U,20,FALSE)&gt;2,"Alta","n/a"))))</f>
        <v>Alerta</v>
      </c>
      <c r="EZ195" s="10"/>
    </row>
    <row r="196" spans="1:156" s="2" customFormat="1" ht="11.25" x14ac:dyDescent="0.2">
      <c r="A196" s="4">
        <v>7.42</v>
      </c>
      <c r="B196" s="4">
        <v>7.15</v>
      </c>
      <c r="C196" s="4">
        <v>7.31</v>
      </c>
      <c r="D196" s="4">
        <v>7.09</v>
      </c>
      <c r="E196" s="4">
        <v>6.88</v>
      </c>
      <c r="F196" s="4">
        <v>6.63</v>
      </c>
      <c r="G196" s="4">
        <v>6.27</v>
      </c>
      <c r="H196" s="4">
        <v>6.27</v>
      </c>
      <c r="I196" s="4">
        <v>6.65</v>
      </c>
      <c r="J196" s="4">
        <v>7.25</v>
      </c>
      <c r="K196" s="4">
        <v>7.44</v>
      </c>
      <c r="L196" s="4">
        <v>7.1</v>
      </c>
      <c r="M196" s="4">
        <v>7.07</v>
      </c>
      <c r="N196" s="4">
        <v>7.68</v>
      </c>
      <c r="O196" s="4">
        <v>7.85</v>
      </c>
      <c r="P196" s="4">
        <v>7.82</v>
      </c>
      <c r="Q196" s="4">
        <v>7.7</v>
      </c>
      <c r="R196" s="4">
        <v>7.83</v>
      </c>
      <c r="S196" s="4">
        <v>7.69</v>
      </c>
      <c r="T196" s="4">
        <v>7.99</v>
      </c>
      <c r="U196" s="4">
        <v>7.35</v>
      </c>
      <c r="V196" s="4">
        <v>7.14</v>
      </c>
      <c r="W196" s="4">
        <v>6.81</v>
      </c>
      <c r="X196" s="4">
        <v>7.12</v>
      </c>
      <c r="Y196" s="4">
        <v>7.01</v>
      </c>
      <c r="Z196" s="4">
        <v>6.89</v>
      </c>
      <c r="AA196" s="4">
        <v>6.71</v>
      </c>
      <c r="AB196" s="4">
        <v>6.73</v>
      </c>
      <c r="AC196" s="4">
        <v>6.72</v>
      </c>
      <c r="AD196" s="4">
        <v>6.91</v>
      </c>
      <c r="AE196" s="4">
        <v>5.5</v>
      </c>
      <c r="AF196" s="4">
        <v>5.08</v>
      </c>
      <c r="AG196" s="4">
        <v>4.5199999999999996</v>
      </c>
      <c r="AH196" s="4">
        <v>4.28</v>
      </c>
      <c r="AI196" s="4">
        <v>4.29</v>
      </c>
      <c r="AJ196" s="4">
        <v>4.07</v>
      </c>
      <c r="AK196" s="4">
        <v>4.55</v>
      </c>
      <c r="AL196" s="4">
        <v>4.6500000000000004</v>
      </c>
      <c r="AM196" s="4">
        <v>4.8499999999999996</v>
      </c>
      <c r="AN196" s="4">
        <v>5.2</v>
      </c>
      <c r="AO196" s="4">
        <v>4.83</v>
      </c>
      <c r="AP196" s="4">
        <v>5.31</v>
      </c>
      <c r="AQ196" s="4">
        <v>5.25</v>
      </c>
      <c r="AR196" s="4">
        <v>4.93</v>
      </c>
      <c r="AS196" s="4">
        <v>5.41</v>
      </c>
      <c r="AT196" s="4">
        <v>5.55</v>
      </c>
      <c r="AU196" s="4">
        <v>5.4550000000000001</v>
      </c>
      <c r="AV196" s="4">
        <v>5.33</v>
      </c>
      <c r="AW196" s="4">
        <v>5.75</v>
      </c>
      <c r="AX196" s="4">
        <v>6.07</v>
      </c>
      <c r="AY196" s="12">
        <v>6.19</v>
      </c>
      <c r="AZ196" s="12">
        <v>6.9</v>
      </c>
      <c r="BA196" s="12">
        <v>6.61</v>
      </c>
      <c r="BB196" s="15">
        <v>7.14</v>
      </c>
      <c r="BC196" s="52">
        <v>6.54</v>
      </c>
      <c r="BD196" s="52">
        <v>6.44</v>
      </c>
      <c r="BE196" s="52">
        <v>6.75</v>
      </c>
      <c r="BF196" s="52">
        <v>6.99</v>
      </c>
      <c r="BG196" s="67">
        <v>7.19</v>
      </c>
      <c r="BH196" s="52">
        <v>7.49</v>
      </c>
      <c r="BI196" s="52">
        <v>7.37</v>
      </c>
      <c r="BJ196" s="52">
        <v>7.37</v>
      </c>
      <c r="BK196" s="52">
        <v>6.91</v>
      </c>
      <c r="BL196" s="52" cm="1">
        <f t="array" aca="1" ref="BL196" ca="1">_FV(EC196,"Preço")</f>
        <v>6.91</v>
      </c>
      <c r="BM196" s="69" t="s">
        <v>192</v>
      </c>
      <c r="BN196" s="36" cm="1">
        <f t="array" aca="1" ref="BN196" ca="1">_FV(EC196,"Média de volume",TRUE)</f>
        <v>3345600</v>
      </c>
      <c r="BO196" s="36">
        <v>2481100</v>
      </c>
      <c r="BP196" s="36" cm="1">
        <f t="array" aca="1" ref="BP196" ca="1">_FV(EC196,"Volume")</f>
        <v>2481100</v>
      </c>
      <c r="BQ196" s="24" cm="1">
        <f t="array" aca="1" ref="BQ196" ca="1">_FV(EC196,"Beta")</f>
        <v>1.6218999999999999</v>
      </c>
      <c r="BR196" s="71" cm="1">
        <f t="array" aca="1" ref="BR196" ca="1">_FV(EC196,"Variação (%)",TRUE)</f>
        <v>-1.2857E-2</v>
      </c>
      <c r="BT196" s="17" cm="1">
        <f t="array" aca="1" ref="BT196" ca="1">_FV(EC196,"Baixo")</f>
        <v>6.85</v>
      </c>
      <c r="BU196" s="17" cm="1">
        <f t="array" aca="1" ref="BU196" ca="1">_FV(EC196,"Alto")</f>
        <v>7.03</v>
      </c>
      <c r="BV196" s="24"/>
      <c r="BW196" s="63">
        <f ca="1">SQRT(22.5*(BL196/VLOOKUP(BM196,Fundamentus!A:U,3,FALSE))*(BL196/VLOOKUP(BM196,Fundamentus!A:U,4,FALSE)))</f>
        <v>11.206879014504127</v>
      </c>
      <c r="BY196" s="62">
        <f t="shared" ca="1" si="168"/>
        <v>0</v>
      </c>
      <c r="BZ196" s="8"/>
      <c r="CA196" s="61">
        <f t="shared" si="169"/>
        <v>4.07</v>
      </c>
      <c r="CB196" s="61">
        <f t="shared" si="170"/>
        <v>7.99</v>
      </c>
      <c r="CC196" s="61">
        <f t="shared" si="171"/>
        <v>6.4324603174603174</v>
      </c>
      <c r="CD196" s="14"/>
      <c r="CE196" s="35">
        <f t="shared" si="154"/>
        <v>6.7754679499336712</v>
      </c>
      <c r="CF196" s="15">
        <f t="shared" si="172"/>
        <v>7.1980000000000928</v>
      </c>
      <c r="CG196" s="35">
        <f t="shared" si="155"/>
        <v>7.6205320500665144</v>
      </c>
      <c r="CI196" s="14"/>
      <c r="CJ196" s="17">
        <f t="shared" si="156"/>
        <v>1.043333333333333</v>
      </c>
      <c r="CK196" s="17">
        <f t="shared" si="157"/>
        <v>2.5566666666666666</v>
      </c>
      <c r="CL196" s="17">
        <f t="shared" si="158"/>
        <v>4.9633333333333329</v>
      </c>
      <c r="CM196" s="38">
        <f t="shared" si="173"/>
        <v>6.4766666666666666</v>
      </c>
      <c r="CN196" s="17">
        <f t="shared" si="159"/>
        <v>8.8833333333333329</v>
      </c>
      <c r="CO196" s="17">
        <f t="shared" si="160"/>
        <v>10.396666666666667</v>
      </c>
      <c r="CP196" s="17">
        <f t="shared" si="161"/>
        <v>12.803333333333333</v>
      </c>
      <c r="CQ196" s="2" cm="1">
        <f t="array" aca="1" ref="CQ196" ca="1">MAX(_xlfn._xlws.FILTER(CJ196:CP196,CJ196:CP196&lt;BL196))</f>
        <v>6.4766666666666666</v>
      </c>
      <c r="CR196" s="2" cm="1">
        <f t="array" aca="1" ref="CR196" ca="1">MIN(_xlfn._xlws.FILTER($CJ196:$CP196,$CJ196:$CP196&gt;BL196))</f>
        <v>8.8833333333333329</v>
      </c>
      <c r="CS196" s="16">
        <f t="shared" ca="1" si="209"/>
        <v>0.37159032424086469</v>
      </c>
      <c r="CT196" s="20">
        <f t="shared" ca="1" si="210"/>
        <v>-0.18579516212043234</v>
      </c>
      <c r="CU196" s="20">
        <f t="shared" ca="1" si="211"/>
        <v>-0.12386344141362156</v>
      </c>
      <c r="CV196" s="20">
        <f t="shared" ca="1" si="212"/>
        <v>-7.4318064848172938E-2</v>
      </c>
      <c r="CW196" s="20">
        <f t="shared" ca="1" si="213"/>
        <v>-4.1287813804540524E-2</v>
      </c>
      <c r="CX196" s="20">
        <f t="shared" ca="1" si="214"/>
        <v>-2.1858254367109687E-2</v>
      </c>
      <c r="CY196" s="20">
        <f t="shared" ca="1" si="215"/>
        <v>-1.1260312855783779E-2</v>
      </c>
      <c r="CZ196" s="20">
        <f t="shared" ca="1" si="216"/>
        <v>-5.716774219090226E-3</v>
      </c>
      <c r="DA196" s="21">
        <f t="shared" ca="1" si="217"/>
        <v>5.716774219090226E-3</v>
      </c>
      <c r="DB196" s="21">
        <f t="shared" ca="1" si="218"/>
        <v>1.1260312855783779E-2</v>
      </c>
      <c r="DC196" s="21">
        <f t="shared" ca="1" si="219"/>
        <v>2.1858254367109687E-2</v>
      </c>
      <c r="DD196" s="21">
        <f t="shared" ca="1" si="220"/>
        <v>4.1287813804540524E-2</v>
      </c>
      <c r="DE196" s="21">
        <f t="shared" ca="1" si="221"/>
        <v>7.4318064848172938E-2</v>
      </c>
      <c r="DF196" s="21">
        <f t="shared" ca="1" si="222"/>
        <v>0.12386344141362156</v>
      </c>
      <c r="DG196" s="21">
        <f t="shared" ca="1" si="223"/>
        <v>0.18579516212043234</v>
      </c>
      <c r="DI196" s="16" cm="1">
        <f t="array" aca="1" ref="DI196" ca="1">MAX(_xlfn._xlws.FILTER(CT196:DG196,CT196:DG196&lt;BR196))</f>
        <v>-2.1858254367109687E-2</v>
      </c>
      <c r="DJ196" s="16" cm="1">
        <f t="array" aca="1" ref="DJ196" ca="1">MIN(_xlfn._xlws.FILTER(CT196:DG196,CT196:DG196&gt;BR196))</f>
        <v>-1.1260312855783779E-2</v>
      </c>
      <c r="DK196" s="2" cm="1">
        <f t="array" aca="1" ref="DK196" ca="1">_FV(EC196,"Fechamento anterior",TRUE)</f>
        <v>7</v>
      </c>
      <c r="DL196" s="28">
        <f t="shared" ca="1" si="162"/>
        <v>0.84932639988128067</v>
      </c>
      <c r="DM196" s="15">
        <f t="shared" ca="1" si="224"/>
        <v>6.8469922194302324</v>
      </c>
      <c r="DN196" s="15">
        <f t="shared" ca="1" si="225"/>
        <v>6.9211778100095138</v>
      </c>
      <c r="DO196" s="9"/>
      <c r="DP196" s="9"/>
      <c r="DQ196" s="9"/>
      <c r="DR196" s="89">
        <v>1.1483178012952141E-2</v>
      </c>
      <c r="DS196" s="89">
        <v>5.4558774558774552E-3</v>
      </c>
      <c r="DT196" s="89">
        <v>5.5435386366935527E-3</v>
      </c>
      <c r="DU196" s="89">
        <v>1.0597941511325908E-2</v>
      </c>
      <c r="DV196" s="89">
        <f t="shared" ca="1" si="163"/>
        <v>1.0597941511325908E-2</v>
      </c>
      <c r="DW196" s="72">
        <f t="shared" ca="1" si="164"/>
        <v>-0.68160509943522474</v>
      </c>
      <c r="DX196" s="37"/>
      <c r="DY196" s="35">
        <f t="shared" si="174"/>
        <v>0.21126602503321099</v>
      </c>
      <c r="DZ196" s="56"/>
      <c r="EA196" s="56"/>
      <c r="EC196" s="2" t="e" vm="198">
        <v>#VALUE!</v>
      </c>
      <c r="EE196" s="10" cm="1">
        <f t="array" aca="1" ref="EE196" ca="1">_FV(EC196,"Ações em circulação",TRUE)</f>
        <v>696334200</v>
      </c>
      <c r="EF196" s="18">
        <f>VLOOKUP(BM196,Fundamentus!A:U,5,FALSE)</f>
        <v>0.49199999999999999</v>
      </c>
      <c r="EG196" s="2">
        <f t="shared" ca="1" si="165"/>
        <v>9779815695.1219521</v>
      </c>
      <c r="EH196" s="17">
        <v>781407274.04024398</v>
      </c>
      <c r="EI196" s="17">
        <f t="shared" ca="1" si="166"/>
        <v>781407274.04024398</v>
      </c>
      <c r="EK196" s="16">
        <f t="shared" ca="1" si="226"/>
        <v>0</v>
      </c>
      <c r="EL196" s="32" t="str">
        <f>IF(VLOOKUP(BM196,Fundamentus!A:U,3,FALSE)&lt;15,"Bom",IF(VLOOKUP(BM196,Fundamentus!A:U,3,FALSE)&gt;15,"Ruim","n/a"))</f>
        <v>Bom</v>
      </c>
      <c r="EM196" s="28" t="str">
        <f>IF(VLOOKUP(BM196,Fundamentus!A:U,4,FALSE)&lt;1,"Baixo",IF(VLOOKUP(BM196,Fundamentus!A:U,4,FALSE)&lt;1.5,"Moderado",IF(VLOOKUP(BM196,Fundamentus!A:U,4,FALSE)&gt;1.5,"Alto","n/a")))</f>
        <v>Moderado</v>
      </c>
      <c r="EN196" s="17" t="str">
        <f>IF(VLOOKUP(BM196,Fundamentus!A:U,8,FALSE)&lt;0,"Risco elevado",IF(VLOOKUP(BM196,Fundamentus!A:U,8,FALSE)&lt;1,"Saudável",IF(VLOOKUP(BM196,Fundamentus!A:U,8,FALSE)&lt;3,"Estável",IF(VLOOKUP(BM196,Fundamentus!A:U,8,FALSE)&gt;3,"Alerta","n/a"))))</f>
        <v>Risco elevado</v>
      </c>
      <c r="EO196" s="28" t="str">
        <f t="shared" si="167"/>
        <v>Ruim</v>
      </c>
      <c r="EP196" s="17" t="str">
        <f>IF(VLOOKUP(BM196,Fundamentus!A:U,12,FALSE)&lt;2,"Subvalorizada",IF(VLOOKUP(BM196,Fundamentus!A:U,12,FALSE)&lt;6,"Muita barata",IF(VLOOKUP(BM196,Fundamentus!A:U,12,FALSE)&lt;6,"Barata",IF(VLOOKUP(BM196,Fundamentus!A:U,12,FALSE)&lt;8,"Atrativa",IF(VLOOKUP(BM196,Fundamentus!A:U,12,FALSE)&gt;8,"Supervalorizada","n/a")))))</f>
        <v>Muita barata</v>
      </c>
      <c r="ER196" s="17" t="str">
        <f>IF(VLOOKUP(BM196,Fundamentus!A:U,17,FALSE)&lt;0.1,"Fraco retorno",IF(VLOOKUP(BM196,Fundamentus!A:U,17,FALSE)&gt;0.1,"Bom retorno","n/a"))</f>
        <v>Bom retorno</v>
      </c>
      <c r="ES196" s="17" t="str">
        <f>IF(VLOOKUP(BM196,Fundamentus!A:U,16,FALSE)&lt;0.1,"Ineficiente",IF(VLOOKUP(BM196,Fundamentus!A:U,16,FALSE)&gt;0.1,"Eficiente","n/a"))</f>
        <v>Eficiente</v>
      </c>
      <c r="ET196" s="33" t="str">
        <f>IF(VLOOKUP(BM196,Fundamentus!A:U,16,FALSE)&lt;0.1,"Oper. Ineficiente",IF(VLOOKUP(BM196,Fundamentus!A:U,16,FALSE)&gt;0.1,"Oper.Eficiente","n/a"))</f>
        <v>Oper.Eficiente</v>
      </c>
      <c r="EU196" s="34">
        <f>VLOOKUP(BM196,Fundamentus!A:U,14,FALSE)</f>
        <v>7.9899999999999999E-2</v>
      </c>
      <c r="EV196" s="17" t="str">
        <f>IF(VLOOKUP(BM196,Fundamentus!A:U,21,FALSE)&lt;0,"Negativo",IF(VLOOKUP(BM196,Fundamentus!A:U,21,FALSE)&lt;0.05,"Fraco",IF(VLOOKUP(BM196,Fundamentus!A:U,21,FALSE)&lt;0.1,"Bom",IF(VLOOKUP(BM196,Fundamentus!A:U,21,FALSE)&gt;0.1,"Muito bom","n/a"))))</f>
        <v>Muito bom</v>
      </c>
      <c r="EX196" s="29" t="str">
        <f>IF(VLOOKUP(BM196,Fundamentus!A:U,15,FALSE)&gt;1,"Bom",IF(VLOOKUP(BM196,Fundamentus!A:U,15,FALSE)&lt;1,"Ruim","n/a"))</f>
        <v>Ruim</v>
      </c>
      <c r="EY196" s="17" t="str">
        <f>IF(VLOOKUP(BM196,Fundamentus!A:U,20,FALSE)&lt;0.5,"Baixa",IF(VLOOKUP(BM196,Fundamentus!A:U,20,FALSE)&lt;1,"Moderada",IF(VLOOKUP(BM196,Fundamentus!A:U,20,FALSE)&lt;2,"Alerta",IF(VLOOKUP(BM196,Fundamentus!A:U,20,FALSE)&gt;2,"Alta","n/a"))))</f>
        <v>Alta</v>
      </c>
      <c r="EZ196" s="10"/>
    </row>
    <row r="197" spans="1:156" s="2" customFormat="1" ht="11.25" x14ac:dyDescent="0.2">
      <c r="A197" s="4">
        <v>0.2</v>
      </c>
      <c r="B197" s="4">
        <v>0.23</v>
      </c>
      <c r="C197" s="4">
        <v>0.24</v>
      </c>
      <c r="D197" s="4">
        <v>0.26</v>
      </c>
      <c r="E197" s="4">
        <v>0.22</v>
      </c>
      <c r="F197" s="4">
        <v>0.19</v>
      </c>
      <c r="G197" s="4">
        <v>0.19</v>
      </c>
      <c r="H197" s="4">
        <v>0.18</v>
      </c>
      <c r="I197" s="4">
        <v>0.17</v>
      </c>
      <c r="J197" s="4">
        <v>0.18</v>
      </c>
      <c r="K197" s="4">
        <v>0.2</v>
      </c>
      <c r="L197" s="4">
        <v>0.18</v>
      </c>
      <c r="M197" s="4">
        <v>0.18</v>
      </c>
      <c r="N197" s="4">
        <v>0.18</v>
      </c>
      <c r="O197" s="4">
        <v>0.19</v>
      </c>
      <c r="P197" s="4">
        <v>0.18</v>
      </c>
      <c r="Q197" s="4">
        <v>0.16</v>
      </c>
      <c r="R197" s="4">
        <v>0.16</v>
      </c>
      <c r="S197" s="4">
        <v>0.16</v>
      </c>
      <c r="T197" s="4">
        <v>0.16</v>
      </c>
      <c r="U197" s="4">
        <v>0.15</v>
      </c>
      <c r="V197" s="4">
        <v>0.01</v>
      </c>
      <c r="W197" s="4">
        <v>0.01</v>
      </c>
      <c r="X197" s="4">
        <v>0.01</v>
      </c>
      <c r="Y197" s="4">
        <v>0.01</v>
      </c>
      <c r="Z197" s="4">
        <v>0.01</v>
      </c>
      <c r="AA197" s="4">
        <v>0.01</v>
      </c>
      <c r="AB197" s="4">
        <v>0.01</v>
      </c>
      <c r="AC197" s="4">
        <v>0.01</v>
      </c>
      <c r="AD197" s="4">
        <v>0.01</v>
      </c>
      <c r="AE197" s="4">
        <v>0.01</v>
      </c>
      <c r="AF197" s="4">
        <v>0.01</v>
      </c>
      <c r="AG197" s="4">
        <v>0.01</v>
      </c>
      <c r="AH197" s="4">
        <v>0.01</v>
      </c>
      <c r="AI197" s="4">
        <v>0.01</v>
      </c>
      <c r="AJ197" s="4">
        <v>0.01</v>
      </c>
      <c r="AK197" s="4">
        <v>0.01</v>
      </c>
      <c r="AL197" s="4">
        <v>0.01</v>
      </c>
      <c r="AM197" s="4">
        <v>0.01</v>
      </c>
      <c r="AN197" s="4">
        <v>0.01</v>
      </c>
      <c r="AO197" s="4">
        <v>0.01</v>
      </c>
      <c r="AP197" s="4">
        <v>0.01</v>
      </c>
      <c r="AQ197" s="4">
        <v>0.01</v>
      </c>
      <c r="AR197" s="4">
        <v>0.71</v>
      </c>
      <c r="AS197" s="4">
        <v>1.05</v>
      </c>
      <c r="AT197" s="4">
        <v>0.85</v>
      </c>
      <c r="AU197" s="4">
        <v>0.81499999999999995</v>
      </c>
      <c r="AV197" s="4">
        <v>0.75</v>
      </c>
      <c r="AW197" s="4">
        <v>0.91</v>
      </c>
      <c r="AX197" s="4">
        <v>0.88</v>
      </c>
      <c r="AY197" s="12">
        <v>0.75</v>
      </c>
      <c r="AZ197" s="12">
        <v>0.69</v>
      </c>
      <c r="BA197" s="12">
        <v>0.67</v>
      </c>
      <c r="BB197" s="15">
        <v>0.66</v>
      </c>
      <c r="BC197" s="52">
        <v>0.56999999999999995</v>
      </c>
      <c r="BD197" s="52">
        <v>0.42</v>
      </c>
      <c r="BE197" s="52">
        <v>0.34</v>
      </c>
      <c r="BF197" s="52">
        <v>0.27</v>
      </c>
      <c r="BG197" s="67">
        <v>0.3</v>
      </c>
      <c r="BH197" s="52">
        <v>0.27</v>
      </c>
      <c r="BI197" s="52">
        <v>0.3</v>
      </c>
      <c r="BJ197" s="52">
        <v>0.25</v>
      </c>
      <c r="BK197" s="52">
        <v>0.24</v>
      </c>
      <c r="BL197" s="52" cm="1">
        <f t="array" aca="1" ref="BL197" ca="1">_FV(EC197,"Preço")</f>
        <v>0.24</v>
      </c>
      <c r="BM197" s="69" t="s">
        <v>193</v>
      </c>
      <c r="BN197" s="36" cm="1">
        <f t="array" aca="1" ref="BN197" ca="1">_FV(EC197,"Média de volume",TRUE)</f>
        <v>2411170</v>
      </c>
      <c r="BO197" s="36">
        <v>412000</v>
      </c>
      <c r="BP197" s="36" cm="1">
        <f t="array" aca="1" ref="BP197" ca="1">_FV(EC197,"Volume")</f>
        <v>412000</v>
      </c>
      <c r="BQ197" s="24" cm="1">
        <f t="array" aca="1" ref="BQ197" ca="1">_FV(EC197,"Beta")</f>
        <v>1.7412000000000001</v>
      </c>
      <c r="BR197" s="71" cm="1">
        <f t="array" aca="1" ref="BR197" ca="1">_FV(EC197,"Variação (%)",TRUE)</f>
        <v>-0.04</v>
      </c>
      <c r="BT197" s="17" cm="1">
        <f t="array" aca="1" ref="BT197" ca="1">_FV(EC197,"Baixo")</f>
        <v>0.23</v>
      </c>
      <c r="BU197" s="17" cm="1">
        <f t="array" aca="1" ref="BU197" ca="1">_FV(EC197,"Alto")</f>
        <v>0.25</v>
      </c>
      <c r="BV197" s="24"/>
      <c r="BW197" s="63" t="e">
        <f ca="1">SQRT(22.5*(BL197/VLOOKUP(BM197,Fundamentus!A:U,3,FALSE))*(BL197/VLOOKUP(BM197,Fundamentus!A:U,4,FALSE)))</f>
        <v>#DIV/0!</v>
      </c>
      <c r="BY197" s="62">
        <f t="shared" ca="1" si="168"/>
        <v>0</v>
      </c>
      <c r="BZ197" s="8"/>
      <c r="CA197" s="61">
        <f t="shared" si="169"/>
        <v>0.01</v>
      </c>
      <c r="CB197" s="61">
        <f t="shared" si="170"/>
        <v>1.05</v>
      </c>
      <c r="CC197" s="61">
        <f t="shared" si="171"/>
        <v>0.25198412698412698</v>
      </c>
      <c r="CD197" s="14"/>
      <c r="CE197" s="35">
        <f t="shared" si="154"/>
        <v>0.21266176497087741</v>
      </c>
      <c r="CF197" s="15">
        <f t="shared" si="172"/>
        <v>0.25799999999999557</v>
      </c>
      <c r="CG197" s="35">
        <f t="shared" si="155"/>
        <v>0.30333823502911372</v>
      </c>
      <c r="CI197" s="14"/>
      <c r="CJ197" s="17">
        <f t="shared" si="156"/>
        <v>-1.2166666666666666</v>
      </c>
      <c r="CK197" s="17">
        <f t="shared" si="157"/>
        <v>-0.60333333333333328</v>
      </c>
      <c r="CL197" s="17">
        <f t="shared" si="158"/>
        <v>-0.17666666666666664</v>
      </c>
      <c r="CM197" s="38">
        <f t="shared" si="173"/>
        <v>0.4366666666666667</v>
      </c>
      <c r="CN197" s="17">
        <f t="shared" si="159"/>
        <v>0.8633333333333334</v>
      </c>
      <c r="CO197" s="17">
        <f t="shared" si="160"/>
        <v>1.4766666666666668</v>
      </c>
      <c r="CP197" s="17">
        <f t="shared" si="161"/>
        <v>1.9033333333333333</v>
      </c>
      <c r="CQ197" s="2" cm="1">
        <f t="array" aca="1" ref="CQ197" ca="1">MAX(_xlfn._xlws.FILTER(CJ197:CP197,CJ197:CP197&lt;BL197))</f>
        <v>-0.17666666666666664</v>
      </c>
      <c r="CR197" s="2" cm="1">
        <f t="array" aca="1" ref="CR197" ca="1">MIN(_xlfn._xlws.FILTER($CJ197:$CP197,$CJ197:$CP197&gt;BL197))</f>
        <v>0.4366666666666667</v>
      </c>
      <c r="CS197" s="16">
        <f t="shared" ca="1" si="209"/>
        <v>-3.4716981132075477</v>
      </c>
      <c r="CT197" s="20">
        <f t="shared" ca="1" si="210"/>
        <v>1.7358490566037739</v>
      </c>
      <c r="CU197" s="20">
        <f t="shared" ca="1" si="211"/>
        <v>1.1572327044025159</v>
      </c>
      <c r="CV197" s="20">
        <f t="shared" ca="1" si="212"/>
        <v>0.6943396226415095</v>
      </c>
      <c r="CW197" s="20">
        <f t="shared" ca="1" si="213"/>
        <v>0.38574423480083864</v>
      </c>
      <c r="CX197" s="20">
        <f t="shared" ca="1" si="214"/>
        <v>0.20421753607103221</v>
      </c>
      <c r="CY197" s="20">
        <f t="shared" ca="1" si="215"/>
        <v>0.10520297312750145</v>
      </c>
      <c r="CZ197" s="20">
        <f t="shared" ca="1" si="216"/>
        <v>5.3410740203193044E-2</v>
      </c>
      <c r="DA197" s="21">
        <f t="shared" ca="1" si="217"/>
        <v>-5.3410740203193044E-2</v>
      </c>
      <c r="DB197" s="21">
        <f t="shared" ca="1" si="218"/>
        <v>-0.10520297312750145</v>
      </c>
      <c r="DC197" s="21">
        <f t="shared" ca="1" si="219"/>
        <v>-0.20421753607103221</v>
      </c>
      <c r="DD197" s="21">
        <f t="shared" ca="1" si="220"/>
        <v>-0.38574423480083864</v>
      </c>
      <c r="DE197" s="21">
        <f t="shared" ca="1" si="221"/>
        <v>-0.6943396226415095</v>
      </c>
      <c r="DF197" s="21">
        <f t="shared" ca="1" si="222"/>
        <v>-1.1572327044025159</v>
      </c>
      <c r="DG197" s="21">
        <f t="shared" ca="1" si="223"/>
        <v>-1.7358490566037739</v>
      </c>
      <c r="DI197" s="16" cm="1">
        <f t="array" aca="1" ref="DI197" ca="1">MAX(_xlfn._xlws.FILTER(CT197:DG197,CT197:DG197&lt;BR197))</f>
        <v>-5.3410740203193044E-2</v>
      </c>
      <c r="DJ197" s="16" cm="1">
        <f t="array" aca="1" ref="DJ197" ca="1">MIN(_xlfn._xlws.FILTER(CT197:DG197,CT197:DG197&gt;BR197))</f>
        <v>5.3410740203193044E-2</v>
      </c>
      <c r="DK197" s="2" cm="1">
        <f t="array" aca="1" ref="DK197" ca="1">_FV(EC197,"Fechamento anterior",TRUE)</f>
        <v>0.25</v>
      </c>
      <c r="DL197" s="28">
        <f t="shared" ca="1" si="162"/>
        <v>0.12554347826086909</v>
      </c>
      <c r="DM197" s="15">
        <f t="shared" ca="1" si="224"/>
        <v>0.23664731494920174</v>
      </c>
      <c r="DN197" s="15">
        <f t="shared" ca="1" si="225"/>
        <v>0.26335268505079829</v>
      </c>
      <c r="DO197" s="9"/>
      <c r="DP197" s="9"/>
      <c r="DQ197" s="9"/>
      <c r="DR197" s="89">
        <v>4.4755244755244741E-2</v>
      </c>
      <c r="DS197" s="89">
        <v>0.12808586762075136</v>
      </c>
      <c r="DT197" s="89">
        <v>0.10682148040638609</v>
      </c>
      <c r="DU197" s="89">
        <v>0.10682148040638609</v>
      </c>
      <c r="DV197" s="89">
        <f t="shared" ca="1" si="163"/>
        <v>0.10682148040638609</v>
      </c>
      <c r="DW197" s="72">
        <f t="shared" ca="1" si="164"/>
        <v>-0.39701589593055847</v>
      </c>
      <c r="DX197" s="37"/>
      <c r="DY197" s="35">
        <f t="shared" si="174"/>
        <v>2.2669117514559071E-2</v>
      </c>
      <c r="DZ197" s="56"/>
      <c r="EA197" s="56"/>
      <c r="EC197" s="2" t="e" vm="199">
        <v>#VALUE!</v>
      </c>
      <c r="EE197" s="10" cm="1">
        <f t="array" aca="1" ref="EE197" ca="1">_FV(EC197,"Ações em circulação",TRUE)</f>
        <v>29691030</v>
      </c>
      <c r="EF197" s="18">
        <f>VLOOKUP(BM197,Fundamentus!A:U,5,FALSE)</f>
        <v>6.5000000000000002E-2</v>
      </c>
      <c r="EG197" s="2">
        <f t="shared" ca="1" si="165"/>
        <v>109628418.46153846</v>
      </c>
      <c r="EH197" s="17">
        <v>-368384374.55630773</v>
      </c>
      <c r="EI197" s="17">
        <f t="shared" ca="1" si="166"/>
        <v>-368384374.55630773</v>
      </c>
      <c r="EK197" s="16">
        <f t="shared" ca="1" si="226"/>
        <v>0</v>
      </c>
      <c r="EL197" s="32" t="str">
        <f>IF(VLOOKUP(BM197,Fundamentus!A:U,3,FALSE)&lt;15,"Bom",IF(VLOOKUP(BM197,Fundamentus!A:U,3,FALSE)&gt;15,"Ruim","n/a"))</f>
        <v>Bom</v>
      </c>
      <c r="EM197" s="28" t="str">
        <f>IF(VLOOKUP(BM197,Fundamentus!A:U,4,FALSE)&lt;1,"Baixo",IF(VLOOKUP(BM197,Fundamentus!A:U,4,FALSE)&lt;1.5,"Moderado",IF(VLOOKUP(BM197,Fundamentus!A:U,4,FALSE)&gt;1.5,"Alto","n/a")))</f>
        <v>Baixo</v>
      </c>
      <c r="EN197" s="17" t="str">
        <f>IF(VLOOKUP(BM197,Fundamentus!A:U,8,FALSE)&lt;0,"Risco elevado",IF(VLOOKUP(BM197,Fundamentus!A:U,8,FALSE)&lt;1,"Saudável",IF(VLOOKUP(BM197,Fundamentus!A:U,8,FALSE)&lt;3,"Estável",IF(VLOOKUP(BM197,Fundamentus!A:U,8,FALSE)&gt;3,"Alerta","n/a"))))</f>
        <v>Risco elevado</v>
      </c>
      <c r="EO197" s="28" t="str">
        <f t="shared" si="167"/>
        <v>Ruim</v>
      </c>
      <c r="EP197" s="17" t="str">
        <f>IF(VLOOKUP(BM197,Fundamentus!A:U,12,FALSE)&lt;2,"Subvalorizada",IF(VLOOKUP(BM197,Fundamentus!A:U,12,FALSE)&lt;6,"Muita barata",IF(VLOOKUP(BM197,Fundamentus!A:U,12,FALSE)&lt;6,"Barata",IF(VLOOKUP(BM197,Fundamentus!A:U,12,FALSE)&lt;8,"Atrativa",IF(VLOOKUP(BM197,Fundamentus!A:U,12,FALSE)&gt;8,"Supervalorizada","n/a")))))</f>
        <v>Subvalorizada</v>
      </c>
      <c r="ER197" s="17" t="str">
        <f>IF(VLOOKUP(BM197,Fundamentus!A:U,17,FALSE)&lt;0.1,"Fraco retorno",IF(VLOOKUP(BM197,Fundamentus!A:U,17,FALSE)&gt;0.1,"Bom retorno","n/a"))</f>
        <v>Bom retorno</v>
      </c>
      <c r="ES197" s="17" t="str">
        <f>IF(VLOOKUP(BM197,Fundamentus!A:U,16,FALSE)&lt;0.1,"Ineficiente",IF(VLOOKUP(BM197,Fundamentus!A:U,16,FALSE)&gt;0.1,"Eficiente","n/a"))</f>
        <v>Ineficiente</v>
      </c>
      <c r="ET197" s="33" t="str">
        <f>IF(VLOOKUP(BM197,Fundamentus!A:U,16,FALSE)&lt;0.1,"Oper. Ineficiente",IF(VLOOKUP(BM197,Fundamentus!A:U,16,FALSE)&gt;0.1,"Oper.Eficiente","n/a"))</f>
        <v>Oper. Ineficiente</v>
      </c>
      <c r="EU197" s="34">
        <f>VLOOKUP(BM197,Fundamentus!A:U,14,FALSE)</f>
        <v>-3.3603000000000001</v>
      </c>
      <c r="EV197" s="17" t="str">
        <f>IF(VLOOKUP(BM197,Fundamentus!A:U,21,FALSE)&lt;0,"Negativo",IF(VLOOKUP(BM197,Fundamentus!A:U,21,FALSE)&lt;0.05,"Fraco",IF(VLOOKUP(BM197,Fundamentus!A:U,21,FALSE)&lt;0.1,"Bom",IF(VLOOKUP(BM197,Fundamentus!A:U,21,FALSE)&gt;0.1,"Muito bom","n/a"))))</f>
        <v>Negativo</v>
      </c>
      <c r="EX197" s="29" t="str">
        <f>IF(VLOOKUP(BM197,Fundamentus!A:U,15,FALSE)&gt;1,"Bom",IF(VLOOKUP(BM197,Fundamentus!A:U,15,FALSE)&lt;1,"Ruim","n/a"))</f>
        <v>Ruim</v>
      </c>
      <c r="EY197" s="17" t="str">
        <f>IF(VLOOKUP(BM197,Fundamentus!A:U,20,FALSE)&lt;0.5,"Baixa",IF(VLOOKUP(BM197,Fundamentus!A:U,20,FALSE)&lt;1,"Moderada",IF(VLOOKUP(BM197,Fundamentus!A:U,20,FALSE)&lt;2,"Alerta",IF(VLOOKUP(BM197,Fundamentus!A:U,20,FALSE)&gt;2,"Alta","n/a"))))</f>
        <v>Baixa</v>
      </c>
      <c r="EZ197" s="10"/>
    </row>
    <row r="198" spans="1:156" s="2" customFormat="1" ht="11.25" x14ac:dyDescent="0.2">
      <c r="A198" s="4">
        <v>35.51</v>
      </c>
      <c r="B198" s="4">
        <v>37.15</v>
      </c>
      <c r="C198" s="4">
        <v>33.97</v>
      </c>
      <c r="D198" s="4">
        <v>33.299999999999997</v>
      </c>
      <c r="E198" s="4">
        <v>32.1</v>
      </c>
      <c r="F198" s="4">
        <v>34</v>
      </c>
      <c r="G198" s="4">
        <v>30.74</v>
      </c>
      <c r="H198" s="4">
        <v>29.9</v>
      </c>
      <c r="I198" s="4">
        <v>30.6</v>
      </c>
      <c r="J198" s="4">
        <v>30</v>
      </c>
      <c r="K198" s="4">
        <v>30.75</v>
      </c>
      <c r="L198" s="4">
        <v>30.37</v>
      </c>
      <c r="M198" s="4">
        <v>30.4</v>
      </c>
      <c r="N198" s="4">
        <v>31.4</v>
      </c>
      <c r="O198" s="4">
        <v>31.9</v>
      </c>
      <c r="P198" s="4">
        <v>31.39</v>
      </c>
      <c r="Q198" s="4">
        <v>31.77</v>
      </c>
      <c r="R198" s="4">
        <v>32.299999999999997</v>
      </c>
      <c r="S198" s="4">
        <v>30.8</v>
      </c>
      <c r="T198" s="4">
        <v>29.45</v>
      </c>
      <c r="U198" s="4">
        <v>29.03</v>
      </c>
      <c r="V198" s="4">
        <v>28.25</v>
      </c>
      <c r="W198" s="4">
        <v>27.33</v>
      </c>
      <c r="X198" s="4">
        <v>26.45</v>
      </c>
      <c r="Y198" s="4">
        <v>26.99</v>
      </c>
      <c r="Z198" s="4">
        <v>27.65</v>
      </c>
      <c r="AA198" s="4">
        <v>26.2</v>
      </c>
      <c r="AB198" s="4">
        <v>27.06</v>
      </c>
      <c r="AC198" s="4">
        <v>26.55</v>
      </c>
      <c r="AD198" s="4">
        <v>25.7</v>
      </c>
      <c r="AE198" s="4">
        <v>25</v>
      </c>
      <c r="AF198" s="4">
        <v>23.77</v>
      </c>
      <c r="AG198" s="4">
        <v>24.11</v>
      </c>
      <c r="AH198" s="4">
        <v>23.91</v>
      </c>
      <c r="AI198" s="4">
        <v>24.46</v>
      </c>
      <c r="AJ198" s="4">
        <v>24.4</v>
      </c>
      <c r="AK198" s="4">
        <v>24.6</v>
      </c>
      <c r="AL198" s="4">
        <v>23.9</v>
      </c>
      <c r="AM198" s="4">
        <v>23.48</v>
      </c>
      <c r="AN198" s="4">
        <v>24.9</v>
      </c>
      <c r="AO198" s="4">
        <v>24.81</v>
      </c>
      <c r="AP198" s="4">
        <v>25.29</v>
      </c>
      <c r="AQ198" s="4">
        <v>25.71</v>
      </c>
      <c r="AR198" s="4">
        <v>25.64</v>
      </c>
      <c r="AS198" s="4">
        <v>24.75</v>
      </c>
      <c r="AT198" s="4">
        <v>24.02</v>
      </c>
      <c r="AU198" s="4">
        <v>24.215</v>
      </c>
      <c r="AV198" s="4">
        <v>24.5</v>
      </c>
      <c r="AW198" s="4">
        <v>24.37</v>
      </c>
      <c r="AX198" s="4">
        <v>24.84</v>
      </c>
      <c r="AY198" s="12">
        <v>25</v>
      </c>
      <c r="AZ198" s="12">
        <v>25.7</v>
      </c>
      <c r="BA198" s="12">
        <v>25.01</v>
      </c>
      <c r="BB198" s="15">
        <v>25.99</v>
      </c>
      <c r="BC198" s="52">
        <v>25.4</v>
      </c>
      <c r="BD198" s="52">
        <v>25.82</v>
      </c>
      <c r="BE198" s="52">
        <v>26.83</v>
      </c>
      <c r="BF198" s="52">
        <v>25.99</v>
      </c>
      <c r="BG198" s="67">
        <v>25.4</v>
      </c>
      <c r="BH198" s="52">
        <v>26.4</v>
      </c>
      <c r="BI198" s="52">
        <v>26.17</v>
      </c>
      <c r="BJ198" s="52">
        <v>28.11</v>
      </c>
      <c r="BK198" s="52">
        <v>26.82</v>
      </c>
      <c r="BL198" s="52" cm="1">
        <f t="array" aca="1" ref="BL198" ca="1">_FV(EC198,"Preço")</f>
        <v>26.82</v>
      </c>
      <c r="BM198" s="69" t="s">
        <v>194</v>
      </c>
      <c r="BN198" s="36" cm="1">
        <f t="array" aca="1" ref="BN198" ca="1">_FV(EC198,"Média de volume",TRUE)</f>
        <v>8070</v>
      </c>
      <c r="BO198" s="36">
        <v>2400</v>
      </c>
      <c r="BP198" s="36" cm="1">
        <f t="array" aca="1" ref="BP198" ca="1">_FV(EC198,"Volume")</f>
        <v>2400</v>
      </c>
      <c r="BQ198" s="24" cm="1">
        <f t="array" aca="1" ref="BQ198" ca="1">_FV(EC198,"Beta")</f>
        <v>0.34339999999999998</v>
      </c>
      <c r="BR198" s="71" cm="1">
        <f t="array" aca="1" ref="BR198" ca="1">_FV(EC198,"Variação (%)",TRUE)</f>
        <v>-4.8240000000000002E-3</v>
      </c>
      <c r="BT198" s="17" cm="1">
        <f t="array" aca="1" ref="BT198" ca="1">_FV(EC198,"Baixo")</f>
        <v>26.82</v>
      </c>
      <c r="BU198" s="17" cm="1">
        <f t="array" aca="1" ref="BU198" ca="1">_FV(EC198,"Alto")</f>
        <v>26.95</v>
      </c>
      <c r="BV198" s="24"/>
      <c r="BW198" s="63">
        <f ca="1">SQRT(22.5*(BL198/VLOOKUP(BM198,Fundamentus!A:U,3,FALSE))*(BL198/VLOOKUP(BM198,Fundamentus!A:U,4,FALSE)))</f>
        <v>89.475146494021629</v>
      </c>
      <c r="BY198" s="62">
        <f t="shared" ca="1" si="168"/>
        <v>0</v>
      </c>
      <c r="BZ198" s="8"/>
      <c r="CA198" s="61">
        <f t="shared" si="169"/>
        <v>23.48</v>
      </c>
      <c r="CB198" s="61">
        <f t="shared" si="170"/>
        <v>37.15</v>
      </c>
      <c r="CC198" s="61">
        <f t="shared" si="171"/>
        <v>27.592460317460318</v>
      </c>
      <c r="CD198" s="14"/>
      <c r="CE198" s="35">
        <f t="shared" ref="CE198:CE261" si="227">CF198-DY198*2</f>
        <v>25.345526051629466</v>
      </c>
      <c r="CF198" s="15">
        <f t="shared" si="172"/>
        <v>27.034999999999854</v>
      </c>
      <c r="CG198" s="35">
        <f t="shared" ref="CG198:CG261" si="228">CF198+DY198*2</f>
        <v>28.724473948370242</v>
      </c>
      <c r="CI198" s="14"/>
      <c r="CJ198" s="17">
        <f t="shared" ref="CJ198:CJ261" si="229">CA198-2*(CB198-CM198)</f>
        <v>8.34</v>
      </c>
      <c r="CK198" s="17">
        <f t="shared" ref="CK198:CK261" si="230">CM198-(CB198-CA198)</f>
        <v>15.91</v>
      </c>
      <c r="CL198" s="17">
        <f t="shared" ref="CL198:CL261" si="231">2*CM198-CB198</f>
        <v>22.009999999999998</v>
      </c>
      <c r="CM198" s="38">
        <f t="shared" si="173"/>
        <v>29.58</v>
      </c>
      <c r="CN198" s="17">
        <f t="shared" ref="CN198:CN261" si="232">2*CM198-CA198</f>
        <v>35.679999999999993</v>
      </c>
      <c r="CO198" s="17">
        <f t="shared" ref="CO198:CO261" si="233">CM198+(CB198-CA198)</f>
        <v>43.25</v>
      </c>
      <c r="CP198" s="17">
        <f t="shared" ref="CP198:CP261" si="234">CB198+2*(CM198-CA198)</f>
        <v>49.349999999999994</v>
      </c>
      <c r="CQ198" s="2" cm="1">
        <f t="array" aca="1" ref="CQ198" ca="1">MAX(_xlfn._xlws.FILTER(CJ198:CP198,CJ198:CP198&lt;BL198))</f>
        <v>22.009999999999998</v>
      </c>
      <c r="CR198" s="2" cm="1">
        <f t="array" aca="1" ref="CR198" ca="1">MIN(_xlfn._xlws.FILTER($CJ198:$CP198,$CJ198:$CP198&gt;BL198))</f>
        <v>29.58</v>
      </c>
      <c r="CS198" s="16">
        <f t="shared" ca="1" si="209"/>
        <v>0.34393457519309401</v>
      </c>
      <c r="CT198" s="20">
        <f t="shared" ca="1" si="210"/>
        <v>-0.171967287596547</v>
      </c>
      <c r="CU198" s="20">
        <f t="shared" ca="1" si="211"/>
        <v>-0.114644858397698</v>
      </c>
      <c r="CV198" s="20">
        <f t="shared" ca="1" si="212"/>
        <v>-6.8786915038618807E-2</v>
      </c>
      <c r="CW198" s="20">
        <f t="shared" ca="1" si="213"/>
        <v>-3.821495279923267E-2</v>
      </c>
      <c r="CX198" s="20">
        <f t="shared" ca="1" si="214"/>
        <v>-2.0231445599593764E-2</v>
      </c>
      <c r="CY198" s="20">
        <f t="shared" ca="1" si="215"/>
        <v>-1.0422259854336181E-2</v>
      </c>
      <c r="CZ198" s="20">
        <f t="shared" ca="1" si="216"/>
        <v>-5.2913011568168312E-3</v>
      </c>
      <c r="DA198" s="21">
        <f t="shared" ca="1" si="217"/>
        <v>5.2913011568168312E-3</v>
      </c>
      <c r="DB198" s="21">
        <f t="shared" ca="1" si="218"/>
        <v>1.0422259854336181E-2</v>
      </c>
      <c r="DC198" s="21">
        <f t="shared" ca="1" si="219"/>
        <v>2.0231445599593764E-2</v>
      </c>
      <c r="DD198" s="21">
        <f t="shared" ca="1" si="220"/>
        <v>3.821495279923267E-2</v>
      </c>
      <c r="DE198" s="21">
        <f t="shared" ca="1" si="221"/>
        <v>6.8786915038618807E-2</v>
      </c>
      <c r="DF198" s="21">
        <f t="shared" ca="1" si="222"/>
        <v>0.114644858397698</v>
      </c>
      <c r="DG198" s="21">
        <f t="shared" ca="1" si="223"/>
        <v>0.171967287596547</v>
      </c>
      <c r="DI198" s="16" cm="1">
        <f t="array" aca="1" ref="DI198" ca="1">MAX(_xlfn._xlws.FILTER(CT198:DG198,CT198:DG198&lt;BR198))</f>
        <v>-5.2913011568168312E-3</v>
      </c>
      <c r="DJ198" s="16" cm="1">
        <f t="array" aca="1" ref="DJ198" ca="1">MIN(_xlfn._xlws.FILTER(CT198:DG198,CT198:DG198&gt;BR198))</f>
        <v>5.2913011568168312E-3</v>
      </c>
      <c r="DK198" s="2" cm="1">
        <f t="array" aca="1" ref="DK198" ca="1">_FV(EC198,"Fechamento anterior",TRUE)</f>
        <v>26.95</v>
      </c>
      <c r="DL198" s="28">
        <f t="shared" ref="DL198:DL261" ca="1" si="235">(BL198-DM198)/(DN198-DM198)</f>
        <v>4.4181332915058776E-2</v>
      </c>
      <c r="DM198" s="15">
        <f t="shared" ca="1" si="224"/>
        <v>26.807399433823786</v>
      </c>
      <c r="DN198" s="15">
        <f t="shared" ca="1" si="225"/>
        <v>27.092600566176213</v>
      </c>
      <c r="DO198" s="9"/>
      <c r="DP198" s="9"/>
      <c r="DQ198" s="9"/>
      <c r="DR198" s="89">
        <v>1.4343719041705607E-2</v>
      </c>
      <c r="DS198" s="89">
        <v>1.1961575438772949E-2</v>
      </c>
      <c r="DT198" s="89">
        <v>3.0571962239386137E-2</v>
      </c>
      <c r="DU198" s="89">
        <v>1.0582602313633662E-2</v>
      </c>
      <c r="DV198" s="89">
        <f t="shared" ref="DV198:DV261" ca="1" si="236">DJ198-DI198</f>
        <v>1.0582602313633662E-2</v>
      </c>
      <c r="DW198" s="72">
        <f t="shared" ref="DW198:DW261" ca="1" si="237">(BL198-CF198)/(CF198-CE198)</f>
        <v>-0.12725854708043072</v>
      </c>
      <c r="DX198" s="37"/>
      <c r="DY198" s="35">
        <f t="shared" si="174"/>
        <v>0.84473697418519333</v>
      </c>
      <c r="DZ198" s="56"/>
      <c r="EA198" s="56"/>
      <c r="EC198" s="2" t="e" vm="200">
        <v>#VALUE!</v>
      </c>
      <c r="EE198" s="10" cm="1">
        <f t="array" aca="1" ref="EE198" ca="1">_FV(EC198,"Ações em circulação",TRUE)</f>
        <v>77855300</v>
      </c>
      <c r="EF198" s="18">
        <f>VLOOKUP(BM198,Fundamentus!A:U,5,FALSE)</f>
        <v>0.23400000000000001</v>
      </c>
      <c r="EG198" s="2">
        <f t="shared" ref="EG198:EG261" ca="1" si="238">(BL198*EE198)/EF198</f>
        <v>8923415153.8461533</v>
      </c>
      <c r="EH198" s="17">
        <v>392630266.76923072</v>
      </c>
      <c r="EI198" s="17">
        <f t="shared" ref="EI198:EI261" ca="1" si="239">EG198*EU198</f>
        <v>392630266.76923072</v>
      </c>
      <c r="EK198" s="16">
        <f t="shared" ca="1" si="226"/>
        <v>0</v>
      </c>
      <c r="EL198" s="32" t="str">
        <f>IF(VLOOKUP(BM198,Fundamentus!A:U,3,FALSE)&lt;15,"Bom",IF(VLOOKUP(BM198,Fundamentus!A:U,3,FALSE)&gt;15,"Ruim","n/a"))</f>
        <v>Bom</v>
      </c>
      <c r="EM198" s="28" t="str">
        <f>IF(VLOOKUP(BM198,Fundamentus!A:U,4,FALSE)&lt;1,"Baixo",IF(VLOOKUP(BM198,Fundamentus!A:U,4,FALSE)&lt;1.5,"Moderado",IF(VLOOKUP(BM198,Fundamentus!A:U,4,FALSE)&gt;1.5,"Alto","n/a")))</f>
        <v>Baixo</v>
      </c>
      <c r="EN198" s="17" t="str">
        <f>IF(VLOOKUP(BM198,Fundamentus!A:U,8,FALSE)&lt;0,"Risco elevado",IF(VLOOKUP(BM198,Fundamentus!A:U,8,FALSE)&lt;1,"Saudável",IF(VLOOKUP(BM198,Fundamentus!A:U,8,FALSE)&lt;3,"Estável",IF(VLOOKUP(BM198,Fundamentus!A:U,8,FALSE)&gt;3,"Alerta","n/a"))))</f>
        <v>Risco elevado</v>
      </c>
      <c r="EO198" s="28" t="str">
        <f t="shared" ref="EO198:EO261" si="240">IF(EF198&gt;1,"Bom","Ruim")</f>
        <v>Ruim</v>
      </c>
      <c r="EP198" s="17" t="str">
        <f>IF(VLOOKUP(BM198,Fundamentus!A:U,12,FALSE)&lt;2,"Subvalorizada",IF(VLOOKUP(BM198,Fundamentus!A:U,12,FALSE)&lt;6,"Muita barata",IF(VLOOKUP(BM198,Fundamentus!A:U,12,FALSE)&lt;6,"Barata",IF(VLOOKUP(BM198,Fundamentus!A:U,12,FALSE)&lt;8,"Atrativa",IF(VLOOKUP(BM198,Fundamentus!A:U,12,FALSE)&gt;8,"Supervalorizada","n/a")))))</f>
        <v>Muita barata</v>
      </c>
      <c r="ER198" s="17" t="str">
        <f>IF(VLOOKUP(BM198,Fundamentus!A:U,17,FALSE)&lt;0.1,"Fraco retorno",IF(VLOOKUP(BM198,Fundamentus!A:U,17,FALSE)&gt;0.1,"Bom retorno","n/a"))</f>
        <v>Fraco retorno</v>
      </c>
      <c r="ES198" s="17" t="str">
        <f>IF(VLOOKUP(BM198,Fundamentus!A:U,16,FALSE)&lt;0.1,"Ineficiente",IF(VLOOKUP(BM198,Fundamentus!A:U,16,FALSE)&gt;0.1,"Eficiente","n/a"))</f>
        <v>Ineficiente</v>
      </c>
      <c r="ET198" s="33" t="str">
        <f>IF(VLOOKUP(BM198,Fundamentus!A:U,16,FALSE)&lt;0.1,"Oper. Ineficiente",IF(VLOOKUP(BM198,Fundamentus!A:U,16,FALSE)&gt;0.1,"Oper.Eficiente","n/a"))</f>
        <v>Oper. Ineficiente</v>
      </c>
      <c r="EU198" s="34">
        <f>VLOOKUP(BM198,Fundamentus!A:U,14,FALSE)</f>
        <v>4.3999999999999997E-2</v>
      </c>
      <c r="EV198" s="17" t="str">
        <f>IF(VLOOKUP(BM198,Fundamentus!A:U,21,FALSE)&lt;0,"Negativo",IF(VLOOKUP(BM198,Fundamentus!A:U,21,FALSE)&lt;0.05,"Fraco",IF(VLOOKUP(BM198,Fundamentus!A:U,21,FALSE)&lt;0.1,"Bom",IF(VLOOKUP(BM198,Fundamentus!A:U,21,FALSE)&gt;0.1,"Muito bom","n/a"))))</f>
        <v>Bom</v>
      </c>
      <c r="EX198" s="29" t="str">
        <f>IF(VLOOKUP(BM198,Fundamentus!A:U,15,FALSE)&gt;1,"Bom",IF(VLOOKUP(BM198,Fundamentus!A:U,15,FALSE)&lt;1,"Ruim","n/a"))</f>
        <v>Ruim</v>
      </c>
      <c r="EY198" s="17" t="str">
        <f>IF(VLOOKUP(BM198,Fundamentus!A:U,20,FALSE)&lt;0.5,"Baixa",IF(VLOOKUP(BM198,Fundamentus!A:U,20,FALSE)&lt;1,"Moderada",IF(VLOOKUP(BM198,Fundamentus!A:U,20,FALSE)&lt;2,"Alerta",IF(VLOOKUP(BM198,Fundamentus!A:U,20,FALSE)&gt;2,"Alta","n/a"))))</f>
        <v>Alerta</v>
      </c>
      <c r="EZ198" s="10"/>
    </row>
    <row r="199" spans="1:156" s="2" customFormat="1" ht="11.25" x14ac:dyDescent="0.2">
      <c r="A199" s="4">
        <v>12.02</v>
      </c>
      <c r="B199" s="4">
        <v>12.26</v>
      </c>
      <c r="C199" s="4">
        <v>10.36</v>
      </c>
      <c r="D199" s="4">
        <v>9.49</v>
      </c>
      <c r="E199" s="4">
        <v>9.6</v>
      </c>
      <c r="F199" s="4">
        <v>9.66</v>
      </c>
      <c r="G199" s="4">
        <v>9.58</v>
      </c>
      <c r="H199" s="4">
        <v>9.65</v>
      </c>
      <c r="I199" s="4">
        <v>9.36</v>
      </c>
      <c r="J199" s="4">
        <v>9.99</v>
      </c>
      <c r="K199" s="4">
        <v>10.54</v>
      </c>
      <c r="L199" s="4">
        <v>9.3000000000000007</v>
      </c>
      <c r="M199" s="4">
        <v>8.5299999999999994</v>
      </c>
      <c r="N199" s="4">
        <v>8.9600000000000009</v>
      </c>
      <c r="O199" s="4">
        <v>8.56</v>
      </c>
      <c r="P199" s="4">
        <v>9.15</v>
      </c>
      <c r="Q199" s="4">
        <v>10.34</v>
      </c>
      <c r="R199" s="4">
        <v>10.17</v>
      </c>
      <c r="S199" s="4">
        <v>10.220000000000001</v>
      </c>
      <c r="T199" s="4">
        <v>10.54</v>
      </c>
      <c r="U199" s="4">
        <v>10.34</v>
      </c>
      <c r="V199" s="4">
        <v>10.46</v>
      </c>
      <c r="W199" s="4">
        <v>9.9499999999999993</v>
      </c>
      <c r="X199" s="4">
        <v>11.02</v>
      </c>
      <c r="Y199" s="4">
        <v>11.73</v>
      </c>
      <c r="Z199" s="4">
        <v>12.91</v>
      </c>
      <c r="AA199" s="4">
        <v>12.72</v>
      </c>
      <c r="AB199" s="4">
        <v>12.8</v>
      </c>
      <c r="AC199" s="4">
        <v>11.55</v>
      </c>
      <c r="AD199" s="4">
        <v>12.45</v>
      </c>
      <c r="AE199" s="4">
        <v>10.57</v>
      </c>
      <c r="AF199" s="4">
        <v>10.06</v>
      </c>
      <c r="AG199" s="4">
        <v>9.91</v>
      </c>
      <c r="AH199" s="4">
        <v>9.17</v>
      </c>
      <c r="AI199" s="4">
        <v>8.4700000000000006</v>
      </c>
      <c r="AJ199" s="4">
        <v>7.44</v>
      </c>
      <c r="AK199" s="4">
        <v>7.72</v>
      </c>
      <c r="AL199" s="4">
        <v>7.99</v>
      </c>
      <c r="AM199" s="4">
        <v>8.7899999999999991</v>
      </c>
      <c r="AN199" s="4">
        <v>9.7899999999999991</v>
      </c>
      <c r="AO199" s="4">
        <v>9.65</v>
      </c>
      <c r="AP199" s="4">
        <v>10.3</v>
      </c>
      <c r="AQ199" s="4">
        <v>9.7899999999999991</v>
      </c>
      <c r="AR199" s="4">
        <v>9.8699999999999992</v>
      </c>
      <c r="AS199" s="4">
        <v>10.52</v>
      </c>
      <c r="AT199" s="4">
        <v>10.79</v>
      </c>
      <c r="AU199" s="4">
        <v>10.335000000000001</v>
      </c>
      <c r="AV199" s="4">
        <v>11.04</v>
      </c>
      <c r="AW199" s="4">
        <v>11.32</v>
      </c>
      <c r="AX199" s="4">
        <v>12.05</v>
      </c>
      <c r="AY199" s="12">
        <v>12.72</v>
      </c>
      <c r="AZ199" s="12">
        <v>13.42</v>
      </c>
      <c r="BA199" s="12">
        <v>13.31</v>
      </c>
      <c r="BB199" s="15">
        <v>14.6</v>
      </c>
      <c r="BC199" s="52">
        <v>16.5</v>
      </c>
      <c r="BD199" s="52">
        <v>17.059999999999999</v>
      </c>
      <c r="BE199" s="52">
        <v>17.829999999999998</v>
      </c>
      <c r="BF199" s="52">
        <v>17.100000000000001</v>
      </c>
      <c r="BG199" s="67">
        <v>16.649999999999999</v>
      </c>
      <c r="BH199" s="52">
        <v>16.89</v>
      </c>
      <c r="BI199" s="52">
        <v>19.940000000000001</v>
      </c>
      <c r="BJ199" s="52">
        <v>19.73</v>
      </c>
      <c r="BK199" s="52">
        <v>17.649999999999999</v>
      </c>
      <c r="BL199" s="52" cm="1">
        <f t="array" aca="1" ref="BL199" ca="1">_FV(EC199,"Preço")</f>
        <v>17.649999999999999</v>
      </c>
      <c r="BM199" s="69" t="s">
        <v>195</v>
      </c>
      <c r="BN199" s="36" cm="1">
        <f t="array" aca="1" ref="BN199" ca="1">_FV(EC199,"Média de volume",TRUE)</f>
        <v>3204160</v>
      </c>
      <c r="BO199" s="36">
        <v>2757100</v>
      </c>
      <c r="BP199" s="36" cm="1">
        <f t="array" aca="1" ref="BP199" ca="1">_FV(EC199,"Volume")</f>
        <v>2757100</v>
      </c>
      <c r="BQ199" s="24" cm="1">
        <f t="array" aca="1" ref="BQ199" ca="1">_FV(EC199,"Beta")</f>
        <v>2.0217999999999998</v>
      </c>
      <c r="BR199" s="71" cm="1">
        <f t="array" aca="1" ref="BR199" ca="1">_FV(EC199,"Variação (%)",TRUE)</f>
        <v>-5.1075000000000002E-2</v>
      </c>
      <c r="BT199" s="17" cm="1">
        <f t="array" aca="1" ref="BT199" ca="1">_FV(EC199,"Baixo")</f>
        <v>17.649999999999999</v>
      </c>
      <c r="BU199" s="17" cm="1">
        <f t="array" aca="1" ref="BU199" ca="1">_FV(EC199,"Alto")</f>
        <v>18.61</v>
      </c>
      <c r="BV199" s="24"/>
      <c r="BW199" s="63">
        <f ca="1">SQRT(22.5*(BL199/VLOOKUP(BM199,Fundamentus!A:U,3,FALSE))*(BL199/VLOOKUP(BM199,Fundamentus!A:U,4,FALSE)))</f>
        <v>18.314586376331505</v>
      </c>
      <c r="BY199" s="62">
        <f t="shared" ref="BY199:BY262" ca="1" si="241">(BL199 - BK199) / BK199</f>
        <v>0</v>
      </c>
      <c r="BZ199" s="8"/>
      <c r="CA199" s="61">
        <f t="shared" ref="CA199:CA262" si="242">MIN(A199:BK199)</f>
        <v>7.44</v>
      </c>
      <c r="CB199" s="61">
        <f t="shared" ref="CB199:CB262" si="243">MAX(A199:BK199)</f>
        <v>19.940000000000001</v>
      </c>
      <c r="CC199" s="61">
        <f t="shared" ref="CC199:CC262" si="244">AVERAGE(A199:BK199)</f>
        <v>11.479126984126987</v>
      </c>
      <c r="CD199" s="14"/>
      <c r="CE199" s="35">
        <f t="shared" si="227"/>
        <v>15.979767158444075</v>
      </c>
      <c r="CF199" s="15">
        <f t="shared" ref="CF199:CF262" si="245">FORECAST("04/07/2025", BH199:BK199, $BH$5:$BK$5)</f>
        <v>18.655999999999949</v>
      </c>
      <c r="CG199" s="35">
        <f t="shared" si="228"/>
        <v>21.332232841555822</v>
      </c>
      <c r="CI199" s="14"/>
      <c r="CJ199" s="17">
        <f t="shared" si="229"/>
        <v>-1.0333333333333359</v>
      </c>
      <c r="CK199" s="17">
        <f t="shared" si="230"/>
        <v>3.2033333333333331</v>
      </c>
      <c r="CL199" s="17">
        <f t="shared" si="231"/>
        <v>11.466666666666665</v>
      </c>
      <c r="CM199" s="38">
        <f t="shared" ref="CM199:CM262" si="246">(CB199+CA199+BJ199)/3</f>
        <v>15.703333333333333</v>
      </c>
      <c r="CN199" s="17">
        <f t="shared" si="232"/>
        <v>23.966666666666665</v>
      </c>
      <c r="CO199" s="17">
        <f t="shared" si="233"/>
        <v>28.203333333333333</v>
      </c>
      <c r="CP199" s="17">
        <f t="shared" si="234"/>
        <v>36.466666666666669</v>
      </c>
      <c r="CQ199" s="2" cm="1">
        <f t="array" aca="1" ref="CQ199" ca="1">MAX(_xlfn._xlws.FILTER(CJ199:CP199,CJ199:CP199&lt;BL199))</f>
        <v>15.703333333333333</v>
      </c>
      <c r="CR199" s="2" cm="1">
        <f t="array" aca="1" ref="CR199" ca="1">MIN(_xlfn._xlws.FILTER($CJ199:$CP199,$CJ199:$CP199&gt;BL199))</f>
        <v>23.966666666666665</v>
      </c>
      <c r="CS199" s="16">
        <f t="shared" ca="1" si="209"/>
        <v>0.52621524092549343</v>
      </c>
      <c r="CT199" s="20">
        <f t="shared" ca="1" si="210"/>
        <v>-0.26310762046274672</v>
      </c>
      <c r="CU199" s="20">
        <f t="shared" ca="1" si="211"/>
        <v>-0.1754050803084978</v>
      </c>
      <c r="CV199" s="20">
        <f t="shared" ca="1" si="212"/>
        <v>-0.10524304818509869</v>
      </c>
      <c r="CW199" s="20">
        <f t="shared" ca="1" si="213"/>
        <v>-5.8468360102832601E-2</v>
      </c>
      <c r="CX199" s="20">
        <f t="shared" ca="1" si="214"/>
        <v>-3.0953837701499613E-2</v>
      </c>
      <c r="CY199" s="20">
        <f t="shared" ca="1" si="215"/>
        <v>-1.5945916391681619E-2</v>
      </c>
      <c r="CZ199" s="20">
        <f t="shared" ca="1" si="216"/>
        <v>-8.0956190911614379E-3</v>
      </c>
      <c r="DA199" s="21">
        <f t="shared" ca="1" si="217"/>
        <v>8.0956190911614379E-3</v>
      </c>
      <c r="DB199" s="21">
        <f t="shared" ca="1" si="218"/>
        <v>1.5945916391681619E-2</v>
      </c>
      <c r="DC199" s="21">
        <f t="shared" ca="1" si="219"/>
        <v>3.0953837701499613E-2</v>
      </c>
      <c r="DD199" s="21">
        <f t="shared" ca="1" si="220"/>
        <v>5.8468360102832601E-2</v>
      </c>
      <c r="DE199" s="21">
        <f t="shared" ca="1" si="221"/>
        <v>0.10524304818509869</v>
      </c>
      <c r="DF199" s="21">
        <f t="shared" ca="1" si="222"/>
        <v>0.1754050803084978</v>
      </c>
      <c r="DG199" s="21">
        <f t="shared" ca="1" si="223"/>
        <v>0.26310762046274672</v>
      </c>
      <c r="DI199" s="16" cm="1">
        <f t="array" aca="1" ref="DI199" ca="1">MAX(_xlfn._xlws.FILTER(CT199:DG199,CT199:DG199&lt;BR199))</f>
        <v>-5.8468360102832601E-2</v>
      </c>
      <c r="DJ199" s="16" cm="1">
        <f t="array" aca="1" ref="DJ199" ca="1">MIN(_xlfn._xlws.FILTER(CT199:DG199,CT199:DG199&gt;BR199))</f>
        <v>-3.0953837701499613E-2</v>
      </c>
      <c r="DK199" s="2" cm="1">
        <f t="array" aca="1" ref="DK199" ca="1">_FV(EC199,"Fechamento anterior",TRUE)</f>
        <v>18.600000000000001</v>
      </c>
      <c r="DL199" s="28">
        <f t="shared" ca="1" si="235"/>
        <v>0.26869778721908677</v>
      </c>
      <c r="DM199" s="15">
        <f t="shared" ca="1" si="224"/>
        <v>17.512488502087315</v>
      </c>
      <c r="DN199" s="15">
        <f t="shared" ca="1" si="225"/>
        <v>18.024258618752107</v>
      </c>
      <c r="DO199" s="9"/>
      <c r="DP199" s="9"/>
      <c r="DQ199" s="9"/>
      <c r="DR199" s="89">
        <v>1.1449500446708338E-2</v>
      </c>
      <c r="DS199" s="89">
        <v>2.4447438008282186E-2</v>
      </c>
      <c r="DT199" s="89">
        <v>2.7514522401332987E-2</v>
      </c>
      <c r="DU199" s="89">
        <v>2.7514522401332987E-2</v>
      </c>
      <c r="DV199" s="89">
        <f t="shared" ca="1" si="236"/>
        <v>2.7514522401332987E-2</v>
      </c>
      <c r="DW199" s="72">
        <f t="shared" ca="1" si="237"/>
        <v>-0.37590152261007859</v>
      </c>
      <c r="DX199" s="37"/>
      <c r="DY199" s="35">
        <f t="shared" ref="DY199:DY262" si="247">_xlfn.STDEV.P(BF199:BK199)</f>
        <v>1.338116420777937</v>
      </c>
      <c r="DZ199" s="56"/>
      <c r="EA199" s="56"/>
      <c r="EC199" s="2" t="e" vm="201">
        <v>#VALUE!</v>
      </c>
      <c r="EE199" s="10" cm="1">
        <f t="array" aca="1" ref="EE199" ca="1">_FV(EC199,"Ações em circulação",TRUE)</f>
        <v>308245100</v>
      </c>
      <c r="EF199" s="18">
        <f>VLOOKUP(BM199,Fundamentus!A:U,5,FALSE)</f>
        <v>0.65800000000000003</v>
      </c>
      <c r="EG199" s="2">
        <f t="shared" ca="1" si="238"/>
        <v>8268276618.5410328</v>
      </c>
      <c r="EH199" s="17">
        <v>409279692.61778116</v>
      </c>
      <c r="EI199" s="17">
        <f t="shared" ca="1" si="239"/>
        <v>409279692.61778116</v>
      </c>
      <c r="EK199" s="16">
        <f t="shared" ca="1" si="226"/>
        <v>0</v>
      </c>
      <c r="EL199" s="32" t="str">
        <f>IF(VLOOKUP(BM199,Fundamentus!A:U,3,FALSE)&lt;15,"Bom",IF(VLOOKUP(BM199,Fundamentus!A:U,3,FALSE)&gt;15,"Ruim","n/a"))</f>
        <v>Bom</v>
      </c>
      <c r="EM199" s="28" t="str">
        <f>IF(VLOOKUP(BM199,Fundamentus!A:U,4,FALSE)&lt;1,"Baixo",IF(VLOOKUP(BM199,Fundamentus!A:U,4,FALSE)&lt;1.5,"Moderado",IF(VLOOKUP(BM199,Fundamentus!A:U,4,FALSE)&gt;1.5,"Alto","n/a")))</f>
        <v>Alto</v>
      </c>
      <c r="EN199" s="17" t="str">
        <f>IF(VLOOKUP(BM199,Fundamentus!A:U,8,FALSE)&lt;0,"Risco elevado",IF(VLOOKUP(BM199,Fundamentus!A:U,8,FALSE)&lt;1,"Saudável",IF(VLOOKUP(BM199,Fundamentus!A:U,8,FALSE)&lt;3,"Estável",IF(VLOOKUP(BM199,Fundamentus!A:U,8,FALSE)&gt;3,"Alerta","n/a"))))</f>
        <v>Alerta</v>
      </c>
      <c r="EO199" s="28" t="str">
        <f t="shared" si="240"/>
        <v>Ruim</v>
      </c>
      <c r="EP199" s="17" t="str">
        <f>IF(VLOOKUP(BM199,Fundamentus!A:U,12,FALSE)&lt;2,"Subvalorizada",IF(VLOOKUP(BM199,Fundamentus!A:U,12,FALSE)&lt;6,"Muita barata",IF(VLOOKUP(BM199,Fundamentus!A:U,12,FALSE)&lt;6,"Barata",IF(VLOOKUP(BM199,Fundamentus!A:U,12,FALSE)&lt;8,"Atrativa",IF(VLOOKUP(BM199,Fundamentus!A:U,12,FALSE)&gt;8,"Supervalorizada","n/a")))))</f>
        <v>Muita barata</v>
      </c>
      <c r="ER199" s="17" t="str">
        <f>IF(VLOOKUP(BM199,Fundamentus!A:U,17,FALSE)&lt;0.1,"Fraco retorno",IF(VLOOKUP(BM199,Fundamentus!A:U,17,FALSE)&gt;0.1,"Bom retorno","n/a"))</f>
        <v>Bom retorno</v>
      </c>
      <c r="ES199" s="17" t="str">
        <f>IF(VLOOKUP(BM199,Fundamentus!A:U,16,FALSE)&lt;0.1,"Ineficiente",IF(VLOOKUP(BM199,Fundamentus!A:U,16,FALSE)&gt;0.1,"Eficiente","n/a"))</f>
        <v>Eficiente</v>
      </c>
      <c r="ET199" s="33" t="str">
        <f>IF(VLOOKUP(BM199,Fundamentus!A:U,16,FALSE)&lt;0.1,"Oper. Ineficiente",IF(VLOOKUP(BM199,Fundamentus!A:U,16,FALSE)&gt;0.1,"Oper.Eficiente","n/a"))</f>
        <v>Oper.Eficiente</v>
      </c>
      <c r="EU199" s="34">
        <f>VLOOKUP(BM199,Fundamentus!A:U,14,FALSE)</f>
        <v>4.9500000000000002E-2</v>
      </c>
      <c r="EV199" s="17" t="str">
        <f>IF(VLOOKUP(BM199,Fundamentus!A:U,21,FALSE)&lt;0,"Negativo",IF(VLOOKUP(BM199,Fundamentus!A:U,21,FALSE)&lt;0.05,"Fraco",IF(VLOOKUP(BM199,Fundamentus!A:U,21,FALSE)&lt;0.1,"Bom",IF(VLOOKUP(BM199,Fundamentus!A:U,21,FALSE)&gt;0.1,"Muito bom","n/a"))))</f>
        <v>Muito bom</v>
      </c>
      <c r="EX199" s="29" t="str">
        <f>IF(VLOOKUP(BM199,Fundamentus!A:U,15,FALSE)&gt;1,"Bom",IF(VLOOKUP(BM199,Fundamentus!A:U,15,FALSE)&lt;1,"Ruim","n/a"))</f>
        <v>Bom</v>
      </c>
      <c r="EY199" s="17" t="str">
        <f>IF(VLOOKUP(BM199,Fundamentus!A:U,20,FALSE)&lt;0.5,"Baixa",IF(VLOOKUP(BM199,Fundamentus!A:U,20,FALSE)&lt;1,"Moderada",IF(VLOOKUP(BM199,Fundamentus!A:U,20,FALSE)&lt;2,"Alerta",IF(VLOOKUP(BM199,Fundamentus!A:U,20,FALSE)&gt;2,"Alta","n/a"))))</f>
        <v>Baixa</v>
      </c>
      <c r="EZ199" s="10"/>
    </row>
    <row r="200" spans="1:156" s="2" customFormat="1" ht="11.25" x14ac:dyDescent="0.2">
      <c r="A200" s="4">
        <v>10.65</v>
      </c>
      <c r="B200" s="4">
        <v>10.9</v>
      </c>
      <c r="C200" s="4">
        <v>8.99</v>
      </c>
      <c r="D200" s="4">
        <v>8.52</v>
      </c>
      <c r="E200" s="4">
        <v>8.08</v>
      </c>
      <c r="F200" s="4">
        <v>9.08</v>
      </c>
      <c r="G200" s="4">
        <v>8.4</v>
      </c>
      <c r="H200" s="4">
        <v>9.5299999999999994</v>
      </c>
      <c r="I200" s="4">
        <v>12.76</v>
      </c>
      <c r="J200" s="4">
        <v>19</v>
      </c>
      <c r="K200" s="4">
        <v>21</v>
      </c>
      <c r="L200" s="4">
        <v>27.12</v>
      </c>
      <c r="M200" s="4">
        <v>43.87</v>
      </c>
      <c r="N200" s="4">
        <v>66.900000000000006</v>
      </c>
      <c r="O200" s="4">
        <v>97.35</v>
      </c>
      <c r="P200" s="4">
        <v>76.5</v>
      </c>
      <c r="Q200" s="4">
        <v>88.22</v>
      </c>
      <c r="R200" s="4">
        <v>71.260000000000005</v>
      </c>
      <c r="S200" s="4">
        <v>65.89</v>
      </c>
      <c r="T200" s="4">
        <v>67.5</v>
      </c>
      <c r="U200" s="4">
        <v>75</v>
      </c>
      <c r="V200" s="4">
        <v>134.5</v>
      </c>
      <c r="W200" s="4">
        <v>135</v>
      </c>
      <c r="X200" s="4">
        <v>133.01</v>
      </c>
      <c r="Y200" s="4">
        <v>135.21</v>
      </c>
      <c r="Z200" s="4">
        <v>131.55000000000001</v>
      </c>
      <c r="AA200" s="4">
        <v>126.8</v>
      </c>
      <c r="AB200" s="4">
        <v>158</v>
      </c>
      <c r="AC200" s="4">
        <v>168.31</v>
      </c>
      <c r="AD200" s="4">
        <v>170</v>
      </c>
      <c r="AE200" s="4">
        <v>160.99</v>
      </c>
      <c r="AF200" s="4">
        <v>146.61000000000001</v>
      </c>
      <c r="AG200" s="4">
        <v>268.51</v>
      </c>
      <c r="AH200" s="4">
        <v>140</v>
      </c>
      <c r="AI200" s="4">
        <v>134.96</v>
      </c>
      <c r="AJ200" s="4">
        <v>118.87</v>
      </c>
      <c r="AK200" s="4">
        <v>120.25</v>
      </c>
      <c r="AL200" s="4">
        <v>124.3</v>
      </c>
      <c r="AM200" s="4">
        <v>120.32</v>
      </c>
      <c r="AN200" s="4">
        <v>131.54</v>
      </c>
      <c r="AO200" s="4">
        <v>121.33</v>
      </c>
      <c r="AP200" s="4">
        <v>122.04</v>
      </c>
      <c r="AQ200" s="4">
        <v>120.6</v>
      </c>
      <c r="AR200" s="4">
        <v>125.17</v>
      </c>
      <c r="AS200" s="4">
        <v>132.88</v>
      </c>
      <c r="AT200" s="4">
        <v>130.44</v>
      </c>
      <c r="AU200" s="4">
        <v>123.005</v>
      </c>
      <c r="AV200" s="4">
        <v>120.1</v>
      </c>
      <c r="AW200" s="4">
        <v>123.68</v>
      </c>
      <c r="AX200" s="4">
        <v>127.94</v>
      </c>
      <c r="AY200" s="12">
        <v>135.25</v>
      </c>
      <c r="AZ200" s="12">
        <v>141.75</v>
      </c>
      <c r="BA200" s="12">
        <v>122</v>
      </c>
      <c r="BB200" s="15">
        <v>120.01</v>
      </c>
      <c r="BC200" s="52">
        <v>125.01</v>
      </c>
      <c r="BD200" s="52">
        <v>130.66999999999999</v>
      </c>
      <c r="BE200" s="52">
        <v>192</v>
      </c>
      <c r="BF200" s="52">
        <v>178.01</v>
      </c>
      <c r="BG200" s="67">
        <v>169.82</v>
      </c>
      <c r="BH200" s="52">
        <v>172.18</v>
      </c>
      <c r="BI200" s="52">
        <v>159.75</v>
      </c>
      <c r="BJ200" s="52">
        <v>161.49</v>
      </c>
      <c r="BK200" s="52">
        <v>162.13999999999999</v>
      </c>
      <c r="BL200" s="52" cm="1">
        <f t="array" aca="1" ref="BL200" ca="1">_FV(EC200,"Preço")</f>
        <v>162.13999999999999</v>
      </c>
      <c r="BM200" s="69" t="s">
        <v>196</v>
      </c>
      <c r="BN200" s="36" cm="1">
        <f t="array" aca="1" ref="BN200" ca="1">_FV(EC200,"Média de volume",TRUE)</f>
        <v>79590</v>
      </c>
      <c r="BO200" s="36">
        <v>35400</v>
      </c>
      <c r="BP200" s="36" cm="1">
        <f t="array" aca="1" ref="BP200" ca="1">_FV(EC200,"Volume")</f>
        <v>35400</v>
      </c>
      <c r="BQ200" s="24" cm="1">
        <f t="array" aca="1" ref="BQ200" ca="1">_FV(EC200,"Beta")</f>
        <v>1.5384</v>
      </c>
      <c r="BR200" s="71" cm="1">
        <f t="array" aca="1" ref="BR200" ca="1">_FV(EC200,"Variação (%)",TRUE)</f>
        <v>1.1163000000000001E-2</v>
      </c>
      <c r="BT200" s="17" cm="1">
        <f t="array" aca="1" ref="BT200" ca="1">_FV(EC200,"Baixo")</f>
        <v>159.02000000000001</v>
      </c>
      <c r="BU200" s="17" cm="1">
        <f t="array" aca="1" ref="BU200" ca="1">_FV(EC200,"Alto")</f>
        <v>162.13999999999999</v>
      </c>
      <c r="BV200" s="24"/>
      <c r="BW200" s="63" t="e">
        <f ca="1">SQRT(22.5*(BL200/VLOOKUP(BM200,Fundamentus!A:U,3,FALSE))*(BL200/VLOOKUP(BM200,Fundamentus!A:U,4,FALSE)))</f>
        <v>#NUM!</v>
      </c>
      <c r="BY200" s="62">
        <f t="shared" ca="1" si="241"/>
        <v>0</v>
      </c>
      <c r="BZ200" s="8"/>
      <c r="CA200" s="61">
        <f t="shared" si="242"/>
        <v>8.08</v>
      </c>
      <c r="CB200" s="61">
        <f t="shared" si="243"/>
        <v>268.51</v>
      </c>
      <c r="CC200" s="61">
        <f t="shared" si="244"/>
        <v>107.65896825396825</v>
      </c>
      <c r="CD200" s="14"/>
      <c r="CE200" s="35">
        <f t="shared" si="227"/>
        <v>149.24917250822406</v>
      </c>
      <c r="CF200" s="15">
        <f t="shared" si="245"/>
        <v>162.47099999999773</v>
      </c>
      <c r="CG200" s="35">
        <f t="shared" si="228"/>
        <v>175.6928274917714</v>
      </c>
      <c r="CI200" s="14"/>
      <c r="CJ200" s="17">
        <f t="shared" si="229"/>
        <v>-236.88666666666663</v>
      </c>
      <c r="CK200" s="17">
        <f t="shared" si="230"/>
        <v>-114.40333333333334</v>
      </c>
      <c r="CL200" s="17">
        <f t="shared" si="231"/>
        <v>23.543333333333351</v>
      </c>
      <c r="CM200" s="38">
        <f t="shared" si="246"/>
        <v>146.02666666666667</v>
      </c>
      <c r="CN200" s="17">
        <f t="shared" si="232"/>
        <v>283.97333333333336</v>
      </c>
      <c r="CO200" s="17">
        <f t="shared" si="233"/>
        <v>406.45666666666671</v>
      </c>
      <c r="CP200" s="17">
        <f t="shared" si="234"/>
        <v>544.40333333333331</v>
      </c>
      <c r="CQ200" s="2" cm="1">
        <f t="array" aca="1" ref="CQ200" ca="1">MAX(_xlfn._xlws.FILTER(CJ200:CP200,CJ200:CP200&lt;BL200))</f>
        <v>146.02666666666667</v>
      </c>
      <c r="CR200" s="2" cm="1">
        <f t="array" aca="1" ref="CR200" ca="1">MIN(_xlfn._xlws.FILTER($CJ200:$CP200,$CJ200:$CP200&gt;BL200))</f>
        <v>283.97333333333336</v>
      </c>
      <c r="CS200" s="16">
        <f t="shared" ca="1" si="209"/>
        <v>0.94466764061358677</v>
      </c>
      <c r="CT200" s="20">
        <f t="shared" ca="1" si="210"/>
        <v>-0.47233382030679338</v>
      </c>
      <c r="CU200" s="20">
        <f t="shared" ca="1" si="211"/>
        <v>-0.31488921353786226</v>
      </c>
      <c r="CV200" s="20">
        <f t="shared" ca="1" si="212"/>
        <v>-0.18893352812271735</v>
      </c>
      <c r="CW200" s="20">
        <f t="shared" ca="1" si="213"/>
        <v>-0.10496307117928742</v>
      </c>
      <c r="CX200" s="20">
        <f t="shared" ca="1" si="214"/>
        <v>-5.5568684741975689E-2</v>
      </c>
      <c r="CY200" s="20">
        <f t="shared" ca="1" si="215"/>
        <v>-2.8626292139805661E-2</v>
      </c>
      <c r="CZ200" s="20">
        <f t="shared" ca="1" si="216"/>
        <v>-1.4533348317132103E-2</v>
      </c>
      <c r="DA200" s="21">
        <f t="shared" ca="1" si="217"/>
        <v>1.4533348317132103E-2</v>
      </c>
      <c r="DB200" s="21">
        <f t="shared" ca="1" si="218"/>
        <v>2.8626292139805661E-2</v>
      </c>
      <c r="DC200" s="21">
        <f t="shared" ca="1" si="219"/>
        <v>5.5568684741975689E-2</v>
      </c>
      <c r="DD200" s="21">
        <f t="shared" ca="1" si="220"/>
        <v>0.10496307117928742</v>
      </c>
      <c r="DE200" s="21">
        <f t="shared" ca="1" si="221"/>
        <v>0.18893352812271735</v>
      </c>
      <c r="DF200" s="21">
        <f t="shared" ca="1" si="222"/>
        <v>0.31488921353786226</v>
      </c>
      <c r="DG200" s="21">
        <f t="shared" ca="1" si="223"/>
        <v>0.47233382030679338</v>
      </c>
      <c r="DI200" s="16" cm="1">
        <f t="array" aca="1" ref="DI200" ca="1">MAX(_xlfn._xlws.FILTER(CT200:DG200,CT200:DG200&lt;BR200))</f>
        <v>-1.4533348317132103E-2</v>
      </c>
      <c r="DJ200" s="16" cm="1">
        <f t="array" aca="1" ref="DJ200" ca="1">MIN(_xlfn._xlws.FILTER(CT200:DG200,CT200:DG200&gt;BR200))</f>
        <v>1.4533348317132103E-2</v>
      </c>
      <c r="DK200" s="2" cm="1">
        <f t="array" aca="1" ref="DK200" ca="1">_FV(EC200,"Fechamento anterior",TRUE)</f>
        <v>160.35</v>
      </c>
      <c r="DL200" s="28">
        <f t="shared" ca="1" si="235"/>
        <v>0.88405054765240743</v>
      </c>
      <c r="DM200" s="15">
        <f t="shared" ca="1" si="224"/>
        <v>158.01957759734785</v>
      </c>
      <c r="DN200" s="15">
        <f t="shared" ca="1" si="225"/>
        <v>162.68042240265214</v>
      </c>
      <c r="DO200" s="9"/>
      <c r="DP200" s="9"/>
      <c r="DQ200" s="9"/>
      <c r="DR200" s="89">
        <v>2.6113672418873229E-2</v>
      </c>
      <c r="DS200" s="89">
        <v>2.6971840032110402E-2</v>
      </c>
      <c r="DT200" s="89">
        <v>2.9066696634264207E-2</v>
      </c>
      <c r="DU200" s="89">
        <v>2.9066696634264207E-2</v>
      </c>
      <c r="DV200" s="89">
        <f t="shared" ca="1" si="236"/>
        <v>2.9066696634264207E-2</v>
      </c>
      <c r="DW200" s="72">
        <f t="shared" ca="1" si="237"/>
        <v>-2.503436081008352E-2</v>
      </c>
      <c r="DX200" s="37"/>
      <c r="DY200" s="35">
        <f t="shared" si="247"/>
        <v>6.6109137458868368</v>
      </c>
      <c r="DZ200" s="56"/>
      <c r="EA200" s="56"/>
      <c r="EC200" s="2" t="e" vm="202">
        <v>#VALUE!</v>
      </c>
      <c r="EE200" s="10" cm="1">
        <f t="array" aca="1" ref="EE200" ca="1">_FV(EC200,"Ações em circulação",TRUE)</f>
        <v>167041900</v>
      </c>
      <c r="EF200" s="18">
        <f>VLOOKUP(BM200,Fundamentus!A:U,5,FALSE)</f>
        <v>4.1189999999999998</v>
      </c>
      <c r="EG200" s="2">
        <f t="shared" ca="1" si="238"/>
        <v>6575424536.5379944</v>
      </c>
      <c r="EH200" s="17">
        <v>-129535863.36979848</v>
      </c>
      <c r="EI200" s="17">
        <f t="shared" ca="1" si="239"/>
        <v>-129535863.36979848</v>
      </c>
      <c r="EK200" s="16">
        <f t="shared" ca="1" si="226"/>
        <v>0</v>
      </c>
      <c r="EL200" s="32" t="str">
        <f>IF(VLOOKUP(BM200,Fundamentus!A:U,3,FALSE)&lt;15,"Bom",IF(VLOOKUP(BM200,Fundamentus!A:U,3,FALSE)&gt;15,"Ruim","n/a"))</f>
        <v>Bom</v>
      </c>
      <c r="EM200" s="28" t="str">
        <f>IF(VLOOKUP(BM200,Fundamentus!A:U,4,FALSE)&lt;1,"Baixo",IF(VLOOKUP(BM200,Fundamentus!A:U,4,FALSE)&lt;1.5,"Moderado",IF(VLOOKUP(BM200,Fundamentus!A:U,4,FALSE)&gt;1.5,"Alto","n/a")))</f>
        <v>Alto</v>
      </c>
      <c r="EN200" s="17" t="str">
        <f>IF(VLOOKUP(BM200,Fundamentus!A:U,8,FALSE)&lt;0,"Risco elevado",IF(VLOOKUP(BM200,Fundamentus!A:U,8,FALSE)&lt;1,"Saudável",IF(VLOOKUP(BM200,Fundamentus!A:U,8,FALSE)&lt;3,"Estável",IF(VLOOKUP(BM200,Fundamentus!A:U,8,FALSE)&gt;3,"Alerta","n/a"))))</f>
        <v>Alerta</v>
      </c>
      <c r="EO200" s="28" t="str">
        <f t="shared" si="240"/>
        <v>Bom</v>
      </c>
      <c r="EP200" s="17" t="str">
        <f>IF(VLOOKUP(BM200,Fundamentus!A:U,12,FALSE)&lt;2,"Subvalorizada",IF(VLOOKUP(BM200,Fundamentus!A:U,12,FALSE)&lt;6,"Muita barata",IF(VLOOKUP(BM200,Fundamentus!A:U,12,FALSE)&lt;6,"Barata",IF(VLOOKUP(BM200,Fundamentus!A:U,12,FALSE)&lt;8,"Atrativa",IF(VLOOKUP(BM200,Fundamentus!A:U,12,FALSE)&gt;8,"Supervalorizada","n/a")))))</f>
        <v>Supervalorizada</v>
      </c>
      <c r="ER200" s="17" t="str">
        <f>IF(VLOOKUP(BM200,Fundamentus!A:U,17,FALSE)&lt;0.1,"Fraco retorno",IF(VLOOKUP(BM200,Fundamentus!A:U,17,FALSE)&gt;0.1,"Bom retorno","n/a"))</f>
        <v>Fraco retorno</v>
      </c>
      <c r="ES200" s="17" t="str">
        <f>IF(VLOOKUP(BM200,Fundamentus!A:U,16,FALSE)&lt;0.1,"Ineficiente",IF(VLOOKUP(BM200,Fundamentus!A:U,16,FALSE)&gt;0.1,"Eficiente","n/a"))</f>
        <v>Ineficiente</v>
      </c>
      <c r="ET200" s="33" t="str">
        <f>IF(VLOOKUP(BM200,Fundamentus!A:U,16,FALSE)&lt;0.1,"Oper. Ineficiente",IF(VLOOKUP(BM200,Fundamentus!A:U,16,FALSE)&gt;0.1,"Oper.Eficiente","n/a"))</f>
        <v>Oper. Ineficiente</v>
      </c>
      <c r="EU200" s="34">
        <f>VLOOKUP(BM200,Fundamentus!A:U,14,FALSE)</f>
        <v>-1.9699999999999999E-2</v>
      </c>
      <c r="EV200" s="17" t="str">
        <f>IF(VLOOKUP(BM200,Fundamentus!A:U,21,FALSE)&lt;0,"Negativo",IF(VLOOKUP(BM200,Fundamentus!A:U,21,FALSE)&lt;0.05,"Fraco",IF(VLOOKUP(BM200,Fundamentus!A:U,21,FALSE)&lt;0.1,"Bom",IF(VLOOKUP(BM200,Fundamentus!A:U,21,FALSE)&gt;0.1,"Muito bom","n/a"))))</f>
        <v>Muito bom</v>
      </c>
      <c r="EX200" s="29" t="str">
        <f>IF(VLOOKUP(BM200,Fundamentus!A:U,15,FALSE)&gt;1,"Bom",IF(VLOOKUP(BM200,Fundamentus!A:U,15,FALSE)&lt;1,"Ruim","n/a"))</f>
        <v>Bom</v>
      </c>
      <c r="EY200" s="17" t="str">
        <f>IF(VLOOKUP(BM200,Fundamentus!A:U,20,FALSE)&lt;0.5,"Baixa",IF(VLOOKUP(BM200,Fundamentus!A:U,20,FALSE)&lt;1,"Moderada",IF(VLOOKUP(BM200,Fundamentus!A:U,20,FALSE)&lt;2,"Alerta",IF(VLOOKUP(BM200,Fundamentus!A:U,20,FALSE)&gt;2,"Alta","n/a"))))</f>
        <v>Alta</v>
      </c>
      <c r="EZ200" s="10"/>
    </row>
    <row r="201" spans="1:156" s="2" customFormat="1" ht="11.25" x14ac:dyDescent="0.2">
      <c r="A201" s="4">
        <v>1.06</v>
      </c>
      <c r="B201" s="4">
        <v>1.04</v>
      </c>
      <c r="C201" s="4">
        <v>0.98</v>
      </c>
      <c r="D201" s="4">
        <v>0.95</v>
      </c>
      <c r="E201" s="4">
        <v>0.97</v>
      </c>
      <c r="F201" s="4">
        <v>0.84</v>
      </c>
      <c r="G201" s="4">
        <v>0.8</v>
      </c>
      <c r="H201" s="4">
        <v>0.79</v>
      </c>
      <c r="I201" s="4">
        <v>0.82</v>
      </c>
      <c r="J201" s="4">
        <v>0.92</v>
      </c>
      <c r="K201" s="4">
        <v>0.99</v>
      </c>
      <c r="L201" s="4">
        <v>1.1000000000000001</v>
      </c>
      <c r="M201" s="4">
        <v>1.1100000000000001</v>
      </c>
      <c r="N201" s="4">
        <v>1.1499999999999999</v>
      </c>
      <c r="O201" s="4">
        <v>1.18</v>
      </c>
      <c r="P201" s="4">
        <v>1.17</v>
      </c>
      <c r="Q201" s="4">
        <v>1.35</v>
      </c>
      <c r="R201" s="4">
        <v>1.31</v>
      </c>
      <c r="S201" s="4">
        <v>1.1499999999999999</v>
      </c>
      <c r="T201" s="4">
        <v>1.1599999999999999</v>
      </c>
      <c r="U201" s="4">
        <v>1.0900000000000001</v>
      </c>
      <c r="V201" s="4">
        <v>1.1399999999999999</v>
      </c>
      <c r="W201" s="4">
        <v>1.1599999999999999</v>
      </c>
      <c r="X201" s="4">
        <v>31.5</v>
      </c>
      <c r="Y201" s="4">
        <v>28.34</v>
      </c>
      <c r="Z201" s="4">
        <v>24.76</v>
      </c>
      <c r="AA201" s="4">
        <v>24.13</v>
      </c>
      <c r="AB201" s="4">
        <v>26.86</v>
      </c>
      <c r="AC201" s="4">
        <v>27.46</v>
      </c>
      <c r="AD201" s="4">
        <v>29.52</v>
      </c>
      <c r="AE201" s="4">
        <v>27.4</v>
      </c>
      <c r="AF201" s="4">
        <v>26.32</v>
      </c>
      <c r="AG201" s="4">
        <v>26.81</v>
      </c>
      <c r="AH201" s="4">
        <v>24.68</v>
      </c>
      <c r="AI201" s="4">
        <v>24.64</v>
      </c>
      <c r="AJ201" s="4">
        <v>21.82</v>
      </c>
      <c r="AK201" s="4">
        <v>19.3</v>
      </c>
      <c r="AL201" s="4">
        <v>20.49</v>
      </c>
      <c r="AM201" s="4">
        <v>21.47</v>
      </c>
      <c r="AN201" s="4">
        <v>20.329999999999998</v>
      </c>
      <c r="AO201" s="4">
        <v>20.27</v>
      </c>
      <c r="AP201" s="4">
        <v>20.399999999999999</v>
      </c>
      <c r="AQ201" s="4">
        <v>20.68</v>
      </c>
      <c r="AR201" s="4">
        <v>21.76</v>
      </c>
      <c r="AS201" s="4">
        <v>21.91</v>
      </c>
      <c r="AT201" s="4">
        <v>22.25</v>
      </c>
      <c r="AU201" s="4">
        <v>22.99</v>
      </c>
      <c r="AV201" s="4">
        <v>22.37</v>
      </c>
      <c r="AW201" s="4">
        <v>19.34</v>
      </c>
      <c r="AX201" s="4">
        <v>20.3</v>
      </c>
      <c r="AY201" s="12">
        <v>19.95</v>
      </c>
      <c r="AZ201" s="12">
        <v>20.02</v>
      </c>
      <c r="BA201" s="12">
        <v>19.8</v>
      </c>
      <c r="BB201" s="15">
        <v>20.190000000000001</v>
      </c>
      <c r="BC201" s="52">
        <v>20.21</v>
      </c>
      <c r="BD201" s="52">
        <v>26.36</v>
      </c>
      <c r="BE201" s="52">
        <v>26</v>
      </c>
      <c r="BF201" s="52">
        <v>26.41</v>
      </c>
      <c r="BG201" s="67">
        <v>26.56</v>
      </c>
      <c r="BH201" s="52">
        <v>26.5</v>
      </c>
      <c r="BI201" s="52">
        <v>26</v>
      </c>
      <c r="BJ201" s="52">
        <v>25.5</v>
      </c>
      <c r="BK201" s="52">
        <v>24.48</v>
      </c>
      <c r="BL201" s="52" cm="1">
        <f t="array" aca="1" ref="BL201" ca="1">_FV(EC201,"Preço")</f>
        <v>24.48</v>
      </c>
      <c r="BM201" s="69" t="s">
        <v>197</v>
      </c>
      <c r="BN201" s="36" cm="1">
        <f t="array" aca="1" ref="BN201" ca="1">_FV(EC201,"Média de volume",TRUE)</f>
        <v>6600</v>
      </c>
      <c r="BO201" s="36">
        <v>3600</v>
      </c>
      <c r="BP201" s="36" cm="1">
        <f t="array" aca="1" ref="BP201" ca="1">_FV(EC201,"Volume")</f>
        <v>3600</v>
      </c>
      <c r="BQ201" s="24" cm="1">
        <f t="array" aca="1" ref="BQ201" ca="1">_FV(EC201,"Beta")</f>
        <v>1.0789</v>
      </c>
      <c r="BR201" s="71" cm="1">
        <f t="array" aca="1" ref="BR201" ca="1">_FV(EC201,"Variação (%)",TRUE)</f>
        <v>-2.0799999999999999E-2</v>
      </c>
      <c r="BT201" s="17" cm="1">
        <f t="array" aca="1" ref="BT201" ca="1">_FV(EC201,"Baixo")</f>
        <v>24.14</v>
      </c>
      <c r="BU201" s="17" cm="1">
        <f t="array" aca="1" ref="BU201" ca="1">_FV(EC201,"Alto")</f>
        <v>25.05</v>
      </c>
      <c r="BV201" s="24"/>
      <c r="BW201" s="63" t="e">
        <f ca="1">SQRT(22.5*(BL201/VLOOKUP(BM201,Fundamentus!A:U,3,FALSE))*(BL201/VLOOKUP(BM201,Fundamentus!A:U,4,FALSE)))</f>
        <v>#NUM!</v>
      </c>
      <c r="BY201" s="62">
        <f t="shared" ca="1" si="241"/>
        <v>0</v>
      </c>
      <c r="BZ201" s="8"/>
      <c r="CA201" s="61">
        <f t="shared" si="242"/>
        <v>0.79</v>
      </c>
      <c r="CB201" s="61">
        <f t="shared" si="243"/>
        <v>31.5</v>
      </c>
      <c r="CC201" s="61">
        <f t="shared" si="244"/>
        <v>15.401746031746031</v>
      </c>
      <c r="CD201" s="14"/>
      <c r="CE201" s="35">
        <f t="shared" si="227"/>
        <v>23.821924416153671</v>
      </c>
      <c r="CF201" s="15">
        <f t="shared" si="245"/>
        <v>25.292000000000371</v>
      </c>
      <c r="CG201" s="35">
        <f t="shared" si="228"/>
        <v>26.762075583847071</v>
      </c>
      <c r="CI201" s="14"/>
      <c r="CJ201" s="17">
        <f t="shared" si="229"/>
        <v>-23.683333333333337</v>
      </c>
      <c r="CK201" s="17">
        <f t="shared" si="230"/>
        <v>-11.446666666666669</v>
      </c>
      <c r="CL201" s="17">
        <f t="shared" si="231"/>
        <v>7.0266666666666637</v>
      </c>
      <c r="CM201" s="38">
        <f t="shared" si="246"/>
        <v>19.263333333333332</v>
      </c>
      <c r="CN201" s="17">
        <f t="shared" si="232"/>
        <v>37.736666666666665</v>
      </c>
      <c r="CO201" s="17">
        <f t="shared" si="233"/>
        <v>49.973333333333329</v>
      </c>
      <c r="CP201" s="17">
        <f t="shared" si="234"/>
        <v>68.446666666666658</v>
      </c>
      <c r="CQ201" s="2" cm="1">
        <f t="array" aca="1" ref="CQ201" ca="1">MAX(_xlfn._xlws.FILTER(CJ201:CP201,CJ201:CP201&lt;BL201))</f>
        <v>19.263333333333332</v>
      </c>
      <c r="CR201" s="2" cm="1">
        <f t="array" aca="1" ref="CR201" ca="1">MIN(_xlfn._xlws.FILTER($CJ201:$CP201,$CJ201:$CP201&gt;BL201))</f>
        <v>37.736666666666665</v>
      </c>
      <c r="CS201" s="16">
        <f t="shared" ca="1" si="209"/>
        <v>0.958989444540578</v>
      </c>
      <c r="CT201" s="20">
        <f t="shared" ca="1" si="210"/>
        <v>-0.479494722270289</v>
      </c>
      <c r="CU201" s="20">
        <f t="shared" ca="1" si="211"/>
        <v>-0.31966314818019265</v>
      </c>
      <c r="CV201" s="20">
        <f t="shared" ca="1" si="212"/>
        <v>-0.19179788890811561</v>
      </c>
      <c r="CW201" s="20">
        <f t="shared" ca="1" si="213"/>
        <v>-0.10655438272673089</v>
      </c>
      <c r="CX201" s="20">
        <f t="shared" ca="1" si="214"/>
        <v>-5.6411143796504588E-2</v>
      </c>
      <c r="CY201" s="20">
        <f t="shared" ca="1" si="215"/>
        <v>-2.9060286198199333E-2</v>
      </c>
      <c r="CZ201" s="20">
        <f t="shared" ca="1" si="216"/>
        <v>-1.4753683762162739E-2</v>
      </c>
      <c r="DA201" s="21">
        <f t="shared" ca="1" si="217"/>
        <v>1.4753683762162739E-2</v>
      </c>
      <c r="DB201" s="21">
        <f t="shared" ca="1" si="218"/>
        <v>2.9060286198199333E-2</v>
      </c>
      <c r="DC201" s="21">
        <f t="shared" ca="1" si="219"/>
        <v>5.6411143796504588E-2</v>
      </c>
      <c r="DD201" s="21">
        <f t="shared" ca="1" si="220"/>
        <v>0.10655438272673089</v>
      </c>
      <c r="DE201" s="21">
        <f t="shared" ca="1" si="221"/>
        <v>0.19179788890811561</v>
      </c>
      <c r="DF201" s="21">
        <f t="shared" ca="1" si="222"/>
        <v>0.31966314818019265</v>
      </c>
      <c r="DG201" s="21">
        <f t="shared" ca="1" si="223"/>
        <v>0.479494722270289</v>
      </c>
      <c r="DI201" s="16" cm="1">
        <f t="array" aca="1" ref="DI201" ca="1">MAX(_xlfn._xlws.FILTER(CT201:DG201,CT201:DG201&lt;BR201))</f>
        <v>-2.9060286198199333E-2</v>
      </c>
      <c r="DJ201" s="16" cm="1">
        <f t="array" aca="1" ref="DJ201" ca="1">MIN(_xlfn._xlws.FILTER(CT201:DG201,CT201:DG201&gt;BR201))</f>
        <v>-1.4753683762162739E-2</v>
      </c>
      <c r="DK201" s="2" cm="1">
        <f t="array" aca="1" ref="DK201" ca="1">_FV(EC201,"Fechamento anterior",TRUE)</f>
        <v>25</v>
      </c>
      <c r="DL201" s="28">
        <f t="shared" ca="1" si="235"/>
        <v>0.57737581198123877</v>
      </c>
      <c r="DM201" s="15">
        <f t="shared" ca="1" si="224"/>
        <v>24.273492845045016</v>
      </c>
      <c r="DN201" s="15">
        <f t="shared" ca="1" si="225"/>
        <v>24.63115790594593</v>
      </c>
      <c r="DO201" s="9"/>
      <c r="DP201" s="9"/>
      <c r="DQ201" s="9"/>
      <c r="DR201" s="89">
        <v>2.9248227289576576E-2</v>
      </c>
      <c r="DS201" s="89">
        <v>2.9530096072152148E-2</v>
      </c>
      <c r="DT201" s="89">
        <v>2.9507367524325478E-2</v>
      </c>
      <c r="DU201" s="89">
        <v>1.4306602436036594E-2</v>
      </c>
      <c r="DV201" s="89">
        <f t="shared" ca="1" si="236"/>
        <v>1.4306602436036594E-2</v>
      </c>
      <c r="DW201" s="72">
        <f t="shared" ca="1" si="237"/>
        <v>-0.55235255174814613</v>
      </c>
      <c r="DX201" s="37"/>
      <c r="DY201" s="35">
        <f t="shared" si="247"/>
        <v>0.73503779192335073</v>
      </c>
      <c r="DZ201" s="56"/>
      <c r="EA201" s="56"/>
      <c r="EC201" s="2" t="e" vm="203">
        <v>#VALUE!</v>
      </c>
      <c r="EE201" s="10" cm="1">
        <f t="array" aca="1" ref="EE201" ca="1">_FV(EC201,"Ações em circulação",TRUE)</f>
        <v>9140940</v>
      </c>
      <c r="EF201" s="18">
        <f>VLOOKUP(BM201,Fundamentus!A:U,5,FALSE)</f>
        <v>0.88100000000000001</v>
      </c>
      <c r="EG201" s="2">
        <f t="shared" ca="1" si="238"/>
        <v>253995699.43246314</v>
      </c>
      <c r="EH201" s="17">
        <v>-28726913.605811581</v>
      </c>
      <c r="EI201" s="17">
        <f t="shared" ca="1" si="239"/>
        <v>-28726913.605811581</v>
      </c>
      <c r="EK201" s="16">
        <f t="shared" ca="1" si="226"/>
        <v>0</v>
      </c>
      <c r="EL201" s="32" t="str">
        <f>IF(VLOOKUP(BM201,Fundamentus!A:U,3,FALSE)&lt;15,"Bom",IF(VLOOKUP(BM201,Fundamentus!A:U,3,FALSE)&gt;15,"Ruim","n/a"))</f>
        <v>Bom</v>
      </c>
      <c r="EM201" s="28" t="str">
        <f>IF(VLOOKUP(BM201,Fundamentus!A:U,4,FALSE)&lt;1,"Baixo",IF(VLOOKUP(BM201,Fundamentus!A:U,4,FALSE)&lt;1.5,"Moderado",IF(VLOOKUP(BM201,Fundamentus!A:U,4,FALSE)&gt;1.5,"Alto","n/a")))</f>
        <v>Baixo</v>
      </c>
      <c r="EN201" s="17" t="str">
        <f>IF(VLOOKUP(BM201,Fundamentus!A:U,8,FALSE)&lt;0,"Risco elevado",IF(VLOOKUP(BM201,Fundamentus!A:U,8,FALSE)&lt;1,"Saudável",IF(VLOOKUP(BM201,Fundamentus!A:U,8,FALSE)&lt;3,"Estável",IF(VLOOKUP(BM201,Fundamentus!A:U,8,FALSE)&gt;3,"Alerta","n/a"))))</f>
        <v>Estável</v>
      </c>
      <c r="EO201" s="28" t="str">
        <f t="shared" si="240"/>
        <v>Ruim</v>
      </c>
      <c r="EP201" s="17" t="str">
        <f>IF(VLOOKUP(BM201,Fundamentus!A:U,12,FALSE)&lt;2,"Subvalorizada",IF(VLOOKUP(BM201,Fundamentus!A:U,12,FALSE)&lt;6,"Muita barata",IF(VLOOKUP(BM201,Fundamentus!A:U,12,FALSE)&lt;6,"Barata",IF(VLOOKUP(BM201,Fundamentus!A:U,12,FALSE)&lt;8,"Atrativa",IF(VLOOKUP(BM201,Fundamentus!A:U,12,FALSE)&gt;8,"Supervalorizada","n/a")))))</f>
        <v>Muita barata</v>
      </c>
      <c r="ER201" s="17" t="str">
        <f>IF(VLOOKUP(BM201,Fundamentus!A:U,17,FALSE)&lt;0.1,"Fraco retorno",IF(VLOOKUP(BM201,Fundamentus!A:U,17,FALSE)&gt;0.1,"Bom retorno","n/a"))</f>
        <v>Fraco retorno</v>
      </c>
      <c r="ES201" s="17" t="str">
        <f>IF(VLOOKUP(BM201,Fundamentus!A:U,16,FALSE)&lt;0.1,"Ineficiente",IF(VLOOKUP(BM201,Fundamentus!A:U,16,FALSE)&gt;0.1,"Eficiente","n/a"))</f>
        <v>Ineficiente</v>
      </c>
      <c r="ET201" s="33" t="str">
        <f>IF(VLOOKUP(BM201,Fundamentus!A:U,16,FALSE)&lt;0.1,"Oper. Ineficiente",IF(VLOOKUP(BM201,Fundamentus!A:U,16,FALSE)&gt;0.1,"Oper.Eficiente","n/a"))</f>
        <v>Oper. Ineficiente</v>
      </c>
      <c r="EU201" s="34">
        <f>VLOOKUP(BM201,Fundamentus!A:U,14,FALSE)</f>
        <v>-0.11310000000000001</v>
      </c>
      <c r="EV201" s="17" t="str">
        <f>IF(VLOOKUP(BM201,Fundamentus!A:U,21,FALSE)&lt;0,"Negativo",IF(VLOOKUP(BM201,Fundamentus!A:U,21,FALSE)&lt;0.05,"Fraco",IF(VLOOKUP(BM201,Fundamentus!A:U,21,FALSE)&lt;0.1,"Bom",IF(VLOOKUP(BM201,Fundamentus!A:U,21,FALSE)&gt;0.1,"Muito bom","n/a"))))</f>
        <v>Bom</v>
      </c>
      <c r="EX201" s="29" t="str">
        <f>IF(VLOOKUP(BM201,Fundamentus!A:U,15,FALSE)&gt;1,"Bom",IF(VLOOKUP(BM201,Fundamentus!A:U,15,FALSE)&lt;1,"Ruim","n/a"))</f>
        <v>Bom</v>
      </c>
      <c r="EY201" s="17" t="str">
        <f>IF(VLOOKUP(BM201,Fundamentus!A:U,20,FALSE)&lt;0.5,"Baixa",IF(VLOOKUP(BM201,Fundamentus!A:U,20,FALSE)&lt;1,"Moderada",IF(VLOOKUP(BM201,Fundamentus!A:U,20,FALSE)&lt;2,"Alerta",IF(VLOOKUP(BM201,Fundamentus!A:U,20,FALSE)&gt;2,"Alta","n/a"))))</f>
        <v>Baixa</v>
      </c>
      <c r="EZ201" s="10"/>
    </row>
    <row r="202" spans="1:156" s="2" customFormat="1" ht="11.25" x14ac:dyDescent="0.2">
      <c r="A202" s="4">
        <v>8.85</v>
      </c>
      <c r="B202" s="4">
        <v>9.06</v>
      </c>
      <c r="C202" s="4">
        <v>9.9499999999999993</v>
      </c>
      <c r="D202" s="4">
        <v>10</v>
      </c>
      <c r="E202" s="4">
        <v>9.57</v>
      </c>
      <c r="F202" s="4">
        <v>9.6999999999999993</v>
      </c>
      <c r="G202" s="4">
        <v>9.0399999999999991</v>
      </c>
      <c r="H202" s="4">
        <v>8.27</v>
      </c>
      <c r="I202" s="4">
        <v>8.26</v>
      </c>
      <c r="J202" s="4">
        <v>8.5299999999999994</v>
      </c>
      <c r="K202" s="4">
        <v>9.24</v>
      </c>
      <c r="L202" s="4">
        <v>8.8699999999999992</v>
      </c>
      <c r="M202" s="4">
        <v>8.83</v>
      </c>
      <c r="N202" s="4">
        <v>9.3000000000000007</v>
      </c>
      <c r="O202" s="4">
        <v>9.8000000000000007</v>
      </c>
      <c r="P202" s="4">
        <v>9.4600000000000009</v>
      </c>
      <c r="Q202" s="4">
        <v>9.2899999999999991</v>
      </c>
      <c r="R202" s="4">
        <v>9.5299999999999994</v>
      </c>
      <c r="S202" s="4">
        <v>9.61</v>
      </c>
      <c r="T202" s="4">
        <v>9.43</v>
      </c>
      <c r="U202" s="4">
        <v>8.8000000000000007</v>
      </c>
      <c r="V202" s="4">
        <v>8.7899999999999991</v>
      </c>
      <c r="W202" s="4">
        <v>8.66</v>
      </c>
      <c r="X202" s="4">
        <v>8.24</v>
      </c>
      <c r="Y202" s="4">
        <v>8.1300000000000008</v>
      </c>
      <c r="Z202" s="4">
        <v>7.94</v>
      </c>
      <c r="AA202" s="4">
        <v>7.79</v>
      </c>
      <c r="AB202" s="4">
        <v>7.84</v>
      </c>
      <c r="AC202" s="4">
        <v>7.73</v>
      </c>
      <c r="AD202" s="4">
        <v>7.72</v>
      </c>
      <c r="AE202" s="4">
        <v>7.16</v>
      </c>
      <c r="AF202" s="4">
        <v>6.91</v>
      </c>
      <c r="AG202" s="4">
        <v>6.81</v>
      </c>
      <c r="AH202" s="4">
        <v>6.1</v>
      </c>
      <c r="AI202" s="4">
        <v>5.99</v>
      </c>
      <c r="AJ202" s="4">
        <v>5.6</v>
      </c>
      <c r="AK202" s="4">
        <v>4.91</v>
      </c>
      <c r="AL202" s="4">
        <v>4.68</v>
      </c>
      <c r="AM202" s="4">
        <v>4.6900000000000004</v>
      </c>
      <c r="AN202" s="4">
        <v>4.76</v>
      </c>
      <c r="AO202" s="4">
        <v>4.3899999999999997</v>
      </c>
      <c r="AP202" s="4">
        <v>4.5</v>
      </c>
      <c r="AQ202" s="4">
        <v>4.33</v>
      </c>
      <c r="AR202" s="4">
        <v>3.55</v>
      </c>
      <c r="AS202" s="4">
        <v>3.81</v>
      </c>
      <c r="AT202" s="4">
        <v>3.8</v>
      </c>
      <c r="AU202" s="4">
        <v>3.8450000000000002</v>
      </c>
      <c r="AV202" s="4">
        <v>3.93</v>
      </c>
      <c r="AW202" s="4">
        <v>3.96</v>
      </c>
      <c r="AX202" s="4">
        <v>3.97</v>
      </c>
      <c r="AY202" s="12">
        <v>4.09</v>
      </c>
      <c r="AZ202" s="12">
        <v>4.2699999999999996</v>
      </c>
      <c r="BA202" s="12">
        <v>4.3600000000000003</v>
      </c>
      <c r="BB202" s="15">
        <v>4.4400000000000004</v>
      </c>
      <c r="BC202" s="52">
        <v>5.0199999999999996</v>
      </c>
      <c r="BD202" s="52">
        <v>4.82</v>
      </c>
      <c r="BE202" s="52">
        <v>4.75</v>
      </c>
      <c r="BF202" s="52">
        <v>4.76</v>
      </c>
      <c r="BG202" s="67">
        <v>5.0599999999999996</v>
      </c>
      <c r="BH202" s="52">
        <v>5.0599999999999996</v>
      </c>
      <c r="BI202" s="52">
        <v>5.04</v>
      </c>
      <c r="BJ202" s="52">
        <v>5.31</v>
      </c>
      <c r="BK202" s="52">
        <v>5.14</v>
      </c>
      <c r="BL202" s="52" cm="1">
        <f t="array" aca="1" ref="BL202" ca="1">_FV(EC202,"Preço")</f>
        <v>5.14</v>
      </c>
      <c r="BM202" s="69" t="s">
        <v>251</v>
      </c>
      <c r="BN202" s="36" cm="1">
        <f t="array" aca="1" ref="BN202" ca="1">_FV(EC202,"Média de volume",TRUE)</f>
        <v>813390</v>
      </c>
      <c r="BO202" s="36">
        <v>785900</v>
      </c>
      <c r="BP202" s="36" cm="1">
        <f t="array" aca="1" ref="BP202" ca="1">_FV(EC202,"Volume")</f>
        <v>785900</v>
      </c>
      <c r="BQ202" s="24" cm="1">
        <f t="array" aca="1" ref="BQ202" ca="1">_FV(EC202,"Beta")</f>
        <v>0.35649999999999998</v>
      </c>
      <c r="BR202" s="71" cm="1">
        <f t="array" aca="1" ref="BR202" ca="1">_FV(EC202,"Variação (%)",TRUE)</f>
        <v>-7.7219999999999997E-3</v>
      </c>
      <c r="BT202" s="17" cm="1">
        <f t="array" aca="1" ref="BT202" ca="1">_FV(EC202,"Baixo")</f>
        <v>5.04</v>
      </c>
      <c r="BU202" s="17" cm="1">
        <f t="array" aca="1" ref="BU202" ca="1">_FV(EC202,"Alto")</f>
        <v>5.18</v>
      </c>
      <c r="BV202" s="24"/>
      <c r="BW202" s="63">
        <f ca="1">SQRT(22.5*(BL202/VLOOKUP(BM202,Fundamentus!A:U,3,FALSE))*(BL202/VLOOKUP(BM202,Fundamentus!A:U,4,FALSE)))</f>
        <v>11.951549392106962</v>
      </c>
      <c r="BY202" s="62">
        <f t="shared" ca="1" si="241"/>
        <v>0</v>
      </c>
      <c r="BZ202" s="8"/>
      <c r="CA202" s="61">
        <f t="shared" si="242"/>
        <v>3.55</v>
      </c>
      <c r="CB202" s="61">
        <f t="shared" si="243"/>
        <v>10</v>
      </c>
      <c r="CC202" s="61">
        <f t="shared" si="244"/>
        <v>6.76261904761905</v>
      </c>
      <c r="CD202" s="14"/>
      <c r="CE202" s="35">
        <f t="shared" si="227"/>
        <v>4.8371336333879809</v>
      </c>
      <c r="CF202" s="15">
        <f t="shared" si="245"/>
        <v>5.1629999999999541</v>
      </c>
      <c r="CG202" s="35">
        <f t="shared" si="228"/>
        <v>5.4888663666119273</v>
      </c>
      <c r="CI202" s="14"/>
      <c r="CJ202" s="17">
        <f t="shared" si="229"/>
        <v>-3.8766666666666678</v>
      </c>
      <c r="CK202" s="17">
        <f t="shared" si="230"/>
        <v>-0.163333333333334</v>
      </c>
      <c r="CL202" s="17">
        <f t="shared" si="231"/>
        <v>2.5733333333333324</v>
      </c>
      <c r="CM202" s="38">
        <f t="shared" si="246"/>
        <v>6.2866666666666662</v>
      </c>
      <c r="CN202" s="17">
        <f t="shared" si="232"/>
        <v>9.0233333333333334</v>
      </c>
      <c r="CO202" s="17">
        <f t="shared" si="233"/>
        <v>12.736666666666666</v>
      </c>
      <c r="CP202" s="17">
        <f t="shared" si="234"/>
        <v>15.473333333333333</v>
      </c>
      <c r="CQ202" s="2" cm="1">
        <f t="array" aca="1" ref="CQ202" ca="1">MAX(_xlfn._xlws.FILTER(CJ202:CP202,CJ202:CP202&lt;BL202))</f>
        <v>2.5733333333333324</v>
      </c>
      <c r="CR202" s="2" cm="1">
        <f t="array" aca="1" ref="CR202" ca="1">MIN(_xlfn._xlws.FILTER($CJ202:$CP202,$CJ202:$CP202&gt;BL202))</f>
        <v>6.2866666666666662</v>
      </c>
      <c r="CS202" s="16">
        <f t="shared" ca="1" si="209"/>
        <v>1.4430051813471509</v>
      </c>
      <c r="CT202" s="20">
        <f t="shared" ca="1" si="210"/>
        <v>-0.72150259067357547</v>
      </c>
      <c r="CU202" s="20">
        <f t="shared" ca="1" si="211"/>
        <v>-0.48100172711571698</v>
      </c>
      <c r="CV202" s="20">
        <f t="shared" ca="1" si="212"/>
        <v>-0.28860103626943018</v>
      </c>
      <c r="CW202" s="20">
        <f t="shared" ca="1" si="213"/>
        <v>-0.16033390903857234</v>
      </c>
      <c r="CX202" s="20">
        <f t="shared" ca="1" si="214"/>
        <v>-8.488265772630299E-2</v>
      </c>
      <c r="CY202" s="20">
        <f t="shared" ca="1" si="215"/>
        <v>-4.372742973779245E-2</v>
      </c>
      <c r="CZ202" s="20">
        <f t="shared" ca="1" si="216"/>
        <v>-2.2200079713033092E-2</v>
      </c>
      <c r="DA202" s="21">
        <f t="shared" ca="1" si="217"/>
        <v>2.2200079713033092E-2</v>
      </c>
      <c r="DB202" s="21">
        <f t="shared" ca="1" si="218"/>
        <v>4.372742973779245E-2</v>
      </c>
      <c r="DC202" s="21">
        <f t="shared" ca="1" si="219"/>
        <v>8.488265772630299E-2</v>
      </c>
      <c r="DD202" s="21">
        <f t="shared" ca="1" si="220"/>
        <v>0.16033390903857234</v>
      </c>
      <c r="DE202" s="21">
        <f t="shared" ca="1" si="221"/>
        <v>0.28860103626943018</v>
      </c>
      <c r="DF202" s="21">
        <f t="shared" ca="1" si="222"/>
        <v>0.48100172711571698</v>
      </c>
      <c r="DG202" s="21">
        <f t="shared" ca="1" si="223"/>
        <v>0.72150259067357547</v>
      </c>
      <c r="DI202" s="16" cm="1">
        <f t="array" aca="1" ref="DI202" ca="1">MAX(_xlfn._xlws.FILTER(CT202:DG202,CT202:DG202&lt;BR202))</f>
        <v>-2.2200079713033092E-2</v>
      </c>
      <c r="DJ202" s="16" cm="1">
        <f t="array" aca="1" ref="DJ202" ca="1">MIN(_xlfn._xlws.FILTER(CT202:DG202,CT202:DG202&gt;BR202))</f>
        <v>2.2200079713033092E-2</v>
      </c>
      <c r="DK202" s="2" cm="1">
        <f t="array" aca="1" ref="DK202" ca="1">_FV(EC202,"Fechamento anterior",TRUE)</f>
        <v>5.18</v>
      </c>
      <c r="DL202" s="28">
        <f t="shared" ca="1" si="235"/>
        <v>0.32608153164706061</v>
      </c>
      <c r="DM202" s="15">
        <f t="shared" ca="1" si="224"/>
        <v>5.0650035870864887</v>
      </c>
      <c r="DN202" s="15">
        <f t="shared" ca="1" si="225"/>
        <v>5.2949964129135108</v>
      </c>
      <c r="DO202" s="9"/>
      <c r="DP202" s="9"/>
      <c r="DQ202" s="9"/>
      <c r="DR202" s="89">
        <v>0.1185372005044137</v>
      </c>
      <c r="DS202" s="89">
        <v>4.8540379288301731E-2</v>
      </c>
      <c r="DT202" s="89">
        <v>4.4400159426066184E-2</v>
      </c>
      <c r="DU202" s="89">
        <v>4.4400159426066184E-2</v>
      </c>
      <c r="DV202" s="89">
        <f t="shared" ca="1" si="236"/>
        <v>4.4400159426066184E-2</v>
      </c>
      <c r="DW202" s="72">
        <f t="shared" ca="1" si="237"/>
        <v>-7.0581079720147183E-2</v>
      </c>
      <c r="DX202" s="37"/>
      <c r="DY202" s="35">
        <f t="shared" si="247"/>
        <v>0.16293318330598652</v>
      </c>
      <c r="DZ202" s="56"/>
      <c r="EA202" s="56"/>
      <c r="EC202" s="2" t="e" vm="204">
        <v>#VALUE!</v>
      </c>
      <c r="EE202" s="10" cm="1">
        <f t="array" aca="1" ref="EE202" ca="1">_FV(EC202,"Ações em circulação",TRUE)</f>
        <v>350000000</v>
      </c>
      <c r="EF202" s="18">
        <f>VLOOKUP(BM202,Fundamentus!A:U,5,FALSE)</f>
        <v>0.14399999999999999</v>
      </c>
      <c r="EG202" s="2">
        <f t="shared" ca="1" si="238"/>
        <v>12493055555.555557</v>
      </c>
      <c r="EH202" s="17">
        <v>221127083.33333337</v>
      </c>
      <c r="EI202" s="17">
        <f t="shared" ca="1" si="239"/>
        <v>221127083.33333337</v>
      </c>
      <c r="EK202" s="16">
        <f t="shared" ca="1" si="226"/>
        <v>0</v>
      </c>
      <c r="EL202" s="32" t="str">
        <f>IF(VLOOKUP(BM202,Fundamentus!A:U,3,FALSE)&lt;15,"Bom",IF(VLOOKUP(BM202,Fundamentus!A:U,3,FALSE)&gt;15,"Ruim","n/a"))</f>
        <v>Bom</v>
      </c>
      <c r="EM202" s="28" t="str">
        <f>IF(VLOOKUP(BM202,Fundamentus!A:U,4,FALSE)&lt;1,"Baixo",IF(VLOOKUP(BM202,Fundamentus!A:U,4,FALSE)&lt;1.5,"Moderado",IF(VLOOKUP(BM202,Fundamentus!A:U,4,FALSE)&gt;1.5,"Alto","n/a")))</f>
        <v>Baixo</v>
      </c>
      <c r="EN202" s="17" t="str">
        <f>IF(VLOOKUP(BM202,Fundamentus!A:U,8,FALSE)&lt;0,"Risco elevado",IF(VLOOKUP(BM202,Fundamentus!A:U,8,FALSE)&lt;1,"Saudável",IF(VLOOKUP(BM202,Fundamentus!A:U,8,FALSE)&lt;3,"Estável",IF(VLOOKUP(BM202,Fundamentus!A:U,8,FALSE)&gt;3,"Alerta","n/a"))))</f>
        <v>Saudável</v>
      </c>
      <c r="EO202" s="28" t="str">
        <f t="shared" si="240"/>
        <v>Ruim</v>
      </c>
      <c r="EP202" s="17" t="str">
        <f>IF(VLOOKUP(BM202,Fundamentus!A:U,12,FALSE)&lt;2,"Subvalorizada",IF(VLOOKUP(BM202,Fundamentus!A:U,12,FALSE)&lt;6,"Muita barata",IF(VLOOKUP(BM202,Fundamentus!A:U,12,FALSE)&lt;6,"Barata",IF(VLOOKUP(BM202,Fundamentus!A:U,12,FALSE)&lt;8,"Atrativa",IF(VLOOKUP(BM202,Fundamentus!A:U,12,FALSE)&gt;8,"Supervalorizada","n/a")))))</f>
        <v>Muita barata</v>
      </c>
      <c r="ER202" s="17" t="str">
        <f>IF(VLOOKUP(BM202,Fundamentus!A:U,17,FALSE)&lt;0.1,"Fraco retorno",IF(VLOOKUP(BM202,Fundamentus!A:U,17,FALSE)&gt;0.1,"Bom retorno","n/a"))</f>
        <v>Fraco retorno</v>
      </c>
      <c r="ES202" s="17" t="str">
        <f>IF(VLOOKUP(BM202,Fundamentus!A:U,16,FALSE)&lt;0.1,"Ineficiente",IF(VLOOKUP(BM202,Fundamentus!A:U,16,FALSE)&gt;0.1,"Eficiente","n/a"))</f>
        <v>Ineficiente</v>
      </c>
      <c r="ET202" s="33" t="str">
        <f>IF(VLOOKUP(BM202,Fundamentus!A:U,16,FALSE)&lt;0.1,"Oper. Ineficiente",IF(VLOOKUP(BM202,Fundamentus!A:U,16,FALSE)&gt;0.1,"Oper.Eficiente","n/a"))</f>
        <v>Oper. Ineficiente</v>
      </c>
      <c r="EU202" s="34">
        <f>VLOOKUP(BM202,Fundamentus!A:U,14,FALSE)</f>
        <v>1.77E-2</v>
      </c>
      <c r="EV202" s="17" t="str">
        <f>IF(VLOOKUP(BM202,Fundamentus!A:U,21,FALSE)&lt;0,"Negativo",IF(VLOOKUP(BM202,Fundamentus!A:U,21,FALSE)&lt;0.05,"Fraco",IF(VLOOKUP(BM202,Fundamentus!A:U,21,FALSE)&lt;0.1,"Bom",IF(VLOOKUP(BM202,Fundamentus!A:U,21,FALSE)&gt;0.1,"Muito bom","n/a"))))</f>
        <v>Muito bom</v>
      </c>
      <c r="EX202" s="29" t="str">
        <f>IF(VLOOKUP(BM202,Fundamentus!A:U,15,FALSE)&gt;1,"Bom",IF(VLOOKUP(BM202,Fundamentus!A:U,15,FALSE)&lt;1,"Ruim","n/a"))</f>
        <v>Bom</v>
      </c>
      <c r="EY202" s="17" t="str">
        <f>IF(VLOOKUP(BM202,Fundamentus!A:U,20,FALSE)&lt;0.5,"Baixa",IF(VLOOKUP(BM202,Fundamentus!A:U,20,FALSE)&lt;1,"Moderada",IF(VLOOKUP(BM202,Fundamentus!A:U,20,FALSE)&lt;2,"Alerta",IF(VLOOKUP(BM202,Fundamentus!A:U,20,FALSE)&gt;2,"Alta","n/a"))))</f>
        <v>Alerta</v>
      </c>
      <c r="EZ202" s="10"/>
    </row>
    <row r="203" spans="1:156" s="2" customFormat="1" ht="11.25" x14ac:dyDescent="0.2">
      <c r="A203" s="4">
        <v>12.55</v>
      </c>
      <c r="B203" s="4">
        <v>11.92</v>
      </c>
      <c r="C203" s="4">
        <v>12.1</v>
      </c>
      <c r="D203" s="4">
        <v>12.2</v>
      </c>
      <c r="E203" s="4">
        <v>11.64</v>
      </c>
      <c r="F203" s="4">
        <v>11.31</v>
      </c>
      <c r="G203" s="4">
        <v>11.01</v>
      </c>
      <c r="H203" s="4">
        <v>11.5</v>
      </c>
      <c r="I203" s="4">
        <v>11.68</v>
      </c>
      <c r="J203" s="4">
        <v>12.45</v>
      </c>
      <c r="K203" s="4">
        <v>12.71</v>
      </c>
      <c r="L203" s="4">
        <v>12.19</v>
      </c>
      <c r="M203" s="4">
        <v>11.84</v>
      </c>
      <c r="N203" s="4">
        <v>11.34</v>
      </c>
      <c r="O203" s="4">
        <v>11.75</v>
      </c>
      <c r="P203" s="4">
        <v>11.04</v>
      </c>
      <c r="Q203" s="4">
        <v>11.28</v>
      </c>
      <c r="R203" s="4">
        <v>11.41</v>
      </c>
      <c r="S203" s="4">
        <v>11.23</v>
      </c>
      <c r="T203" s="4">
        <v>11.19</v>
      </c>
      <c r="U203" s="4">
        <v>11.08</v>
      </c>
      <c r="V203" s="4">
        <v>10.93</v>
      </c>
      <c r="W203" s="4">
        <v>10.64</v>
      </c>
      <c r="X203" s="4">
        <v>10.37</v>
      </c>
      <c r="Y203" s="4">
        <v>10.18</v>
      </c>
      <c r="Z203" s="4">
        <v>9.98</v>
      </c>
      <c r="AA203" s="4">
        <v>9.74</v>
      </c>
      <c r="AB203" s="4">
        <v>10.38</v>
      </c>
      <c r="AC203" s="4">
        <v>9.49</v>
      </c>
      <c r="AD203" s="4">
        <v>9.24</v>
      </c>
      <c r="AE203" s="4">
        <v>9.25</v>
      </c>
      <c r="AF203" s="4">
        <v>9.06</v>
      </c>
      <c r="AG203" s="4">
        <v>9.31</v>
      </c>
      <c r="AH203" s="4">
        <v>8.76</v>
      </c>
      <c r="AI203" s="4">
        <v>8.9700000000000006</v>
      </c>
      <c r="AJ203" s="4">
        <v>8.6199999999999992</v>
      </c>
      <c r="AK203" s="4">
        <v>8.33</v>
      </c>
      <c r="AL203" s="4">
        <v>8.2200000000000006</v>
      </c>
      <c r="AM203" s="4">
        <v>8.1199999999999992</v>
      </c>
      <c r="AN203" s="4">
        <v>8.18</v>
      </c>
      <c r="AO203" s="4">
        <v>8.19</v>
      </c>
      <c r="AP203" s="4">
        <v>8.6999999999999993</v>
      </c>
      <c r="AQ203" s="4">
        <v>8.11</v>
      </c>
      <c r="AR203" s="4">
        <v>8.0299999999999994</v>
      </c>
      <c r="AS203" s="4">
        <v>8.2200000000000006</v>
      </c>
      <c r="AT203" s="4">
        <v>8.01</v>
      </c>
      <c r="AU203" s="4">
        <v>8.06</v>
      </c>
      <c r="AV203" s="4">
        <v>8.3699999999999992</v>
      </c>
      <c r="AW203" s="4">
        <v>8.3800000000000008</v>
      </c>
      <c r="AX203" s="4">
        <v>8.59</v>
      </c>
      <c r="AY203" s="12">
        <v>9.1199999999999992</v>
      </c>
      <c r="AZ203" s="12">
        <v>8.74</v>
      </c>
      <c r="BA203" s="12">
        <v>8.5500000000000007</v>
      </c>
      <c r="BB203" s="15">
        <v>8</v>
      </c>
      <c r="BC203" s="52">
        <v>8.1300000000000008</v>
      </c>
      <c r="BD203" s="52">
        <v>8.0299999999999994</v>
      </c>
      <c r="BE203" s="52">
        <v>7.95</v>
      </c>
      <c r="BF203" s="52">
        <v>7.66</v>
      </c>
      <c r="BG203" s="67">
        <v>7.75</v>
      </c>
      <c r="BH203" s="52">
        <v>7.63</v>
      </c>
      <c r="BI203" s="52">
        <v>7.15</v>
      </c>
      <c r="BJ203" s="52">
        <v>7.35</v>
      </c>
      <c r="BK203" s="52">
        <v>7.12</v>
      </c>
      <c r="BL203" s="52" cm="1">
        <f t="array" aca="1" ref="BL203" ca="1">_FV(EC203,"Preço")</f>
        <v>7.12</v>
      </c>
      <c r="BM203" s="69" t="s">
        <v>199</v>
      </c>
      <c r="BN203" s="36" cm="1">
        <f t="array" aca="1" ref="BN203" ca="1">_FV(EC203,"Média de volume",TRUE)</f>
        <v>257230</v>
      </c>
      <c r="BO203" s="36">
        <v>11200</v>
      </c>
      <c r="BP203" s="36" cm="1">
        <f t="array" aca="1" ref="BP203" ca="1">_FV(EC203,"Volume")</f>
        <v>11200</v>
      </c>
      <c r="BQ203" s="24" cm="1">
        <f t="array" aca="1" ref="BQ203" ca="1">_FV(EC203,"Beta")</f>
        <v>1.1708000000000001</v>
      </c>
      <c r="BR203" s="71" cm="1">
        <f t="array" aca="1" ref="BR203" ca="1">_FV(EC203,"Variação (%)",TRUE)</f>
        <v>-3.1293000000000001E-2</v>
      </c>
      <c r="BT203" s="17" cm="1">
        <f t="array" aca="1" ref="BT203" ca="1">_FV(EC203,"Baixo")</f>
        <v>7.1</v>
      </c>
      <c r="BU203" s="17" cm="1">
        <f t="array" aca="1" ref="BU203" ca="1">_FV(EC203,"Alto")</f>
        <v>7.44</v>
      </c>
      <c r="BV203" s="24"/>
      <c r="BW203" s="63">
        <f ca="1">SQRT(22.5*(BL203/VLOOKUP(BM203,Fundamentus!A:U,3,FALSE))*(BL203/VLOOKUP(BM203,Fundamentus!A:U,4,FALSE)))</f>
        <v>9.7383094296014185</v>
      </c>
      <c r="BY203" s="62">
        <f t="shared" ca="1" si="241"/>
        <v>0</v>
      </c>
      <c r="BZ203" s="8"/>
      <c r="CA203" s="61">
        <f t="shared" si="242"/>
        <v>7.12</v>
      </c>
      <c r="CB203" s="61">
        <f t="shared" si="243"/>
        <v>12.71</v>
      </c>
      <c r="CC203" s="61">
        <f t="shared" si="244"/>
        <v>9.6671428571428564</v>
      </c>
      <c r="CD203" s="14"/>
      <c r="CE203" s="35">
        <f t="shared" si="227"/>
        <v>6.7459111190110361</v>
      </c>
      <c r="CF203" s="15">
        <f t="shared" si="245"/>
        <v>7.2460000000000946</v>
      </c>
      <c r="CG203" s="35">
        <f t="shared" si="228"/>
        <v>7.746088880989153</v>
      </c>
      <c r="CI203" s="14"/>
      <c r="CJ203" s="17">
        <f t="shared" si="229"/>
        <v>-0.1800000000000006</v>
      </c>
      <c r="CK203" s="17">
        <f t="shared" si="230"/>
        <v>3.4699999999999998</v>
      </c>
      <c r="CL203" s="17">
        <f t="shared" si="231"/>
        <v>5.41</v>
      </c>
      <c r="CM203" s="38">
        <f t="shared" si="246"/>
        <v>9.06</v>
      </c>
      <c r="CN203" s="17">
        <f t="shared" si="232"/>
        <v>11</v>
      </c>
      <c r="CO203" s="17">
        <f t="shared" si="233"/>
        <v>14.650000000000002</v>
      </c>
      <c r="CP203" s="17">
        <f t="shared" si="234"/>
        <v>16.590000000000003</v>
      </c>
      <c r="CQ203" s="2" cm="1">
        <f t="array" aca="1" ref="CQ203" ca="1">MAX(_xlfn._xlws.FILTER(CJ203:CP203,CJ203:CP203&lt;BL203))</f>
        <v>5.41</v>
      </c>
      <c r="CR203" s="2" cm="1">
        <f t="array" aca="1" ref="CR203" ca="1">MIN(_xlfn._xlws.FILTER($CJ203:$CP203,$CJ203:$CP203&gt;BL203))</f>
        <v>9.06</v>
      </c>
      <c r="CS203" s="16">
        <f t="shared" ca="1" si="209"/>
        <v>0.67467652495378938</v>
      </c>
      <c r="CT203" s="20">
        <f t="shared" ca="1" si="210"/>
        <v>-0.33733826247689469</v>
      </c>
      <c r="CU203" s="20">
        <f t="shared" ca="1" si="211"/>
        <v>-0.22489217498459646</v>
      </c>
      <c r="CV203" s="20">
        <f t="shared" ca="1" si="212"/>
        <v>-0.13493530499075787</v>
      </c>
      <c r="CW203" s="20">
        <f t="shared" ca="1" si="213"/>
        <v>-7.4964058328198815E-2</v>
      </c>
      <c r="CX203" s="20">
        <f t="shared" ca="1" si="214"/>
        <v>-3.9686854409046436E-2</v>
      </c>
      <c r="CY203" s="20">
        <f t="shared" ca="1" si="215"/>
        <v>-2.0444743180417859E-2</v>
      </c>
      <c r="CZ203" s="20">
        <f t="shared" ca="1" si="216"/>
        <v>-1.0379638845442914E-2</v>
      </c>
      <c r="DA203" s="21">
        <f t="shared" ca="1" si="217"/>
        <v>1.0379638845442914E-2</v>
      </c>
      <c r="DB203" s="21">
        <f t="shared" ca="1" si="218"/>
        <v>2.0444743180417859E-2</v>
      </c>
      <c r="DC203" s="21">
        <f t="shared" ca="1" si="219"/>
        <v>3.9686854409046436E-2</v>
      </c>
      <c r="DD203" s="21">
        <f t="shared" ca="1" si="220"/>
        <v>7.4964058328198815E-2</v>
      </c>
      <c r="DE203" s="21">
        <f t="shared" ca="1" si="221"/>
        <v>0.13493530499075787</v>
      </c>
      <c r="DF203" s="21">
        <f t="shared" ca="1" si="222"/>
        <v>0.22489217498459646</v>
      </c>
      <c r="DG203" s="21">
        <f t="shared" ca="1" si="223"/>
        <v>0.33733826247689469</v>
      </c>
      <c r="DI203" s="16" cm="1">
        <f t="array" aca="1" ref="DI203" ca="1">MAX(_xlfn._xlws.FILTER(CT203:DG203,CT203:DG203&lt;BR203))</f>
        <v>-3.9686854409046436E-2</v>
      </c>
      <c r="DJ203" s="16" cm="1">
        <f t="array" aca="1" ref="DJ203" ca="1">MIN(_xlfn._xlws.FILTER(CT203:DG203,CT203:DG203&gt;BR203))</f>
        <v>-2.0444743180417859E-2</v>
      </c>
      <c r="DK203" s="2" cm="1">
        <f t="array" aca="1" ref="DK203" ca="1">_FV(EC203,"Fechamento anterior",TRUE)</f>
        <v>7.35</v>
      </c>
      <c r="DL203" s="28">
        <f t="shared" ca="1" si="235"/>
        <v>0.43624825272575246</v>
      </c>
      <c r="DM203" s="15">
        <f t="shared" ca="1" si="224"/>
        <v>7.0583016200935083</v>
      </c>
      <c r="DN203" s="15">
        <f t="shared" ca="1" si="225"/>
        <v>7.1997311376239281</v>
      </c>
      <c r="DO203" s="9"/>
      <c r="DP203" s="9"/>
      <c r="DQ203" s="9"/>
      <c r="DR203" s="89">
        <v>8.3449096392259024E-3</v>
      </c>
      <c r="DS203" s="89">
        <v>1.7007178354500285E-2</v>
      </c>
      <c r="DT203" s="89">
        <v>2.0626151012891347E-2</v>
      </c>
      <c r="DU203" s="89">
        <v>1.9118713951343139E-2</v>
      </c>
      <c r="DV203" s="89">
        <f t="shared" ca="1" si="236"/>
        <v>1.9242111228628577E-2</v>
      </c>
      <c r="DW203" s="72">
        <f t="shared" ca="1" si="237"/>
        <v>-0.25195521194331705</v>
      </c>
      <c r="DX203" s="37"/>
      <c r="DY203" s="35">
        <f t="shared" si="247"/>
        <v>0.25004444049452929</v>
      </c>
      <c r="DZ203" s="56"/>
      <c r="EA203" s="56"/>
      <c r="EC203" s="2" t="e" vm="205">
        <v>#VALUE!</v>
      </c>
      <c r="EE203" s="10" cm="1">
        <f t="array" aca="1" ref="EE203" ca="1">_FV(EC203,"Ações em circulação",TRUE)</f>
        <v>139297900</v>
      </c>
      <c r="EF203" s="18">
        <f>VLOOKUP(BM203,Fundamentus!A:U,5,FALSE)</f>
        <v>0.68600000000000005</v>
      </c>
      <c r="EG203" s="2">
        <f t="shared" ca="1" si="238"/>
        <v>1445774122.4489794</v>
      </c>
      <c r="EH203" s="17">
        <v>70120044.938775495</v>
      </c>
      <c r="EI203" s="17">
        <f t="shared" ca="1" si="239"/>
        <v>70120044.938775495</v>
      </c>
      <c r="EK203" s="16">
        <f t="shared" ca="1" si="226"/>
        <v>0</v>
      </c>
      <c r="EL203" s="32" t="str">
        <f>IF(VLOOKUP(BM203,Fundamentus!A:U,3,FALSE)&lt;15,"Bom",IF(VLOOKUP(BM203,Fundamentus!A:U,3,FALSE)&gt;15,"Ruim","n/a"))</f>
        <v>Bom</v>
      </c>
      <c r="EM203" s="28" t="str">
        <f>IF(VLOOKUP(BM203,Fundamentus!A:U,4,FALSE)&lt;1,"Baixo",IF(VLOOKUP(BM203,Fundamentus!A:U,4,FALSE)&lt;1.5,"Moderado",IF(VLOOKUP(BM203,Fundamentus!A:U,4,FALSE)&gt;1.5,"Alto","n/a")))</f>
        <v>Baixo</v>
      </c>
      <c r="EN203" s="17" t="str">
        <f>IF(VLOOKUP(BM203,Fundamentus!A:U,8,FALSE)&lt;0,"Risco elevado",IF(VLOOKUP(BM203,Fundamentus!A:U,8,FALSE)&lt;1,"Saudável",IF(VLOOKUP(BM203,Fundamentus!A:U,8,FALSE)&lt;3,"Estável",IF(VLOOKUP(BM203,Fundamentus!A:U,8,FALSE)&gt;3,"Alerta","n/a"))))</f>
        <v>Estável</v>
      </c>
      <c r="EO203" s="28" t="str">
        <f t="shared" si="240"/>
        <v>Ruim</v>
      </c>
      <c r="EP203" s="17" t="str">
        <f>IF(VLOOKUP(BM203,Fundamentus!A:U,12,FALSE)&lt;2,"Subvalorizada",IF(VLOOKUP(BM203,Fundamentus!A:U,12,FALSE)&lt;6,"Muita barata",IF(VLOOKUP(BM203,Fundamentus!A:U,12,FALSE)&lt;6,"Barata",IF(VLOOKUP(BM203,Fundamentus!A:U,12,FALSE)&lt;8,"Atrativa",IF(VLOOKUP(BM203,Fundamentus!A:U,12,FALSE)&gt;8,"Supervalorizada","n/a")))))</f>
        <v>Supervalorizada</v>
      </c>
      <c r="ER203" s="17" t="str">
        <f>IF(VLOOKUP(BM203,Fundamentus!A:U,17,FALSE)&lt;0.1,"Fraco retorno",IF(VLOOKUP(BM203,Fundamentus!A:U,17,FALSE)&gt;0.1,"Bom retorno","n/a"))</f>
        <v>Fraco retorno</v>
      </c>
      <c r="ES203" s="17" t="str">
        <f>IF(VLOOKUP(BM203,Fundamentus!A:U,16,FALSE)&lt;0.1,"Ineficiente",IF(VLOOKUP(BM203,Fundamentus!A:U,16,FALSE)&gt;0.1,"Eficiente","n/a"))</f>
        <v>Ineficiente</v>
      </c>
      <c r="ET203" s="33" t="str">
        <f>IF(VLOOKUP(BM203,Fundamentus!A:U,16,FALSE)&lt;0.1,"Oper. Ineficiente",IF(VLOOKUP(BM203,Fundamentus!A:U,16,FALSE)&gt;0.1,"Oper.Eficiente","n/a"))</f>
        <v>Oper. Ineficiente</v>
      </c>
      <c r="EU203" s="34">
        <f>VLOOKUP(BM203,Fundamentus!A:U,14,FALSE)</f>
        <v>4.8500000000000001E-2</v>
      </c>
      <c r="EV203" s="17" t="str">
        <f>IF(VLOOKUP(BM203,Fundamentus!A:U,21,FALSE)&lt;0,"Negativo",IF(VLOOKUP(BM203,Fundamentus!A:U,21,FALSE)&lt;0.05,"Fraco",IF(VLOOKUP(BM203,Fundamentus!A:U,21,FALSE)&lt;0.1,"Bom",IF(VLOOKUP(BM203,Fundamentus!A:U,21,FALSE)&gt;0.1,"Muito bom","n/a"))))</f>
        <v>Negativo</v>
      </c>
      <c r="EX203" s="29" t="str">
        <f>IF(VLOOKUP(BM203,Fundamentus!A:U,15,FALSE)&gt;1,"Bom",IF(VLOOKUP(BM203,Fundamentus!A:U,15,FALSE)&lt;1,"Ruim","n/a"))</f>
        <v>Bom</v>
      </c>
      <c r="EY203" s="17" t="str">
        <f>IF(VLOOKUP(BM203,Fundamentus!A:U,20,FALSE)&lt;0.5,"Baixa",IF(VLOOKUP(BM203,Fundamentus!A:U,20,FALSE)&lt;1,"Moderada",IF(VLOOKUP(BM203,Fundamentus!A:U,20,FALSE)&lt;2,"Alerta",IF(VLOOKUP(BM203,Fundamentus!A:U,20,FALSE)&gt;2,"Alta","n/a"))))</f>
        <v>Moderada</v>
      </c>
      <c r="EZ203" s="10"/>
    </row>
    <row r="204" spans="1:156" s="5" customFormat="1" ht="11.25" x14ac:dyDescent="0.2">
      <c r="A204" s="4">
        <v>12.38</v>
      </c>
      <c r="B204" s="4">
        <v>12.24</v>
      </c>
      <c r="C204" s="4">
        <v>12.39</v>
      </c>
      <c r="D204" s="4">
        <v>12.26</v>
      </c>
      <c r="E204" s="4">
        <v>11.63</v>
      </c>
      <c r="F204" s="4">
        <v>12.22</v>
      </c>
      <c r="G204" s="4">
        <v>11.55</v>
      </c>
      <c r="H204" s="4">
        <v>11.32</v>
      </c>
      <c r="I204" s="4">
        <v>12</v>
      </c>
      <c r="J204" s="4">
        <v>13.2</v>
      </c>
      <c r="K204" s="4">
        <v>13.31</v>
      </c>
      <c r="L204" s="4">
        <v>13.7</v>
      </c>
      <c r="M204" s="4">
        <v>13.61</v>
      </c>
      <c r="N204" s="4">
        <v>15.42</v>
      </c>
      <c r="O204" s="4">
        <v>16.43</v>
      </c>
      <c r="P204" s="4">
        <v>16.95</v>
      </c>
      <c r="Q204" s="4">
        <v>17.600000000000001</v>
      </c>
      <c r="R204" s="4">
        <v>17.29</v>
      </c>
      <c r="S204" s="4">
        <v>18.170000000000002</v>
      </c>
      <c r="T204" s="4">
        <v>17.89</v>
      </c>
      <c r="U204" s="4">
        <v>16.82</v>
      </c>
      <c r="V204" s="4">
        <v>16.78</v>
      </c>
      <c r="W204" s="4">
        <v>15</v>
      </c>
      <c r="X204" s="4">
        <v>14.8</v>
      </c>
      <c r="Y204" s="4">
        <v>13.72</v>
      </c>
      <c r="Z204" s="4">
        <v>13.95</v>
      </c>
      <c r="AA204" s="4">
        <v>13.64</v>
      </c>
      <c r="AB204" s="4">
        <v>13.6</v>
      </c>
      <c r="AC204" s="4">
        <v>13.24</v>
      </c>
      <c r="AD204" s="4">
        <v>13.45</v>
      </c>
      <c r="AE204" s="4">
        <v>12.31</v>
      </c>
      <c r="AF204" s="4">
        <v>11.06</v>
      </c>
      <c r="AG204" s="4">
        <v>10.95</v>
      </c>
      <c r="AH204" s="4">
        <v>11</v>
      </c>
      <c r="AI204" s="4">
        <v>10.82</v>
      </c>
      <c r="AJ204" s="4">
        <v>10.49</v>
      </c>
      <c r="AK204" s="4">
        <v>10.9</v>
      </c>
      <c r="AL204" s="4">
        <v>10.88</v>
      </c>
      <c r="AM204" s="4">
        <v>10.64</v>
      </c>
      <c r="AN204" s="4">
        <v>11.54</v>
      </c>
      <c r="AO204" s="4">
        <v>10.6</v>
      </c>
      <c r="AP204" s="4">
        <v>10.87</v>
      </c>
      <c r="AQ204" s="4">
        <v>10.57</v>
      </c>
      <c r="AR204" s="4">
        <v>9.84</v>
      </c>
      <c r="AS204" s="4">
        <v>10.86</v>
      </c>
      <c r="AT204" s="4">
        <v>11.19</v>
      </c>
      <c r="AU204" s="4">
        <v>11.76</v>
      </c>
      <c r="AV204" s="4">
        <v>11.95</v>
      </c>
      <c r="AW204" s="4">
        <v>11.73</v>
      </c>
      <c r="AX204" s="4">
        <v>11.49</v>
      </c>
      <c r="AY204" s="12">
        <v>11.27</v>
      </c>
      <c r="AZ204" s="12">
        <v>11.07</v>
      </c>
      <c r="BA204" s="12">
        <v>10.61</v>
      </c>
      <c r="BB204" s="15">
        <v>11.43</v>
      </c>
      <c r="BC204" s="52">
        <v>10.98</v>
      </c>
      <c r="BD204" s="52">
        <v>11.04</v>
      </c>
      <c r="BE204" s="52">
        <v>12.29</v>
      </c>
      <c r="BF204" s="52">
        <v>11.47</v>
      </c>
      <c r="BG204" s="67">
        <v>11.8</v>
      </c>
      <c r="BH204" s="52">
        <v>11.6</v>
      </c>
      <c r="BI204" s="52">
        <v>11.79</v>
      </c>
      <c r="BJ204" s="52">
        <v>12.65</v>
      </c>
      <c r="BK204" s="52">
        <v>12</v>
      </c>
      <c r="BL204" s="52" cm="1">
        <f t="array" aca="1" ref="BL204" ca="1">_FV(EC204,"Preço")</f>
        <v>12</v>
      </c>
      <c r="BM204" s="69" t="s">
        <v>200</v>
      </c>
      <c r="BN204" s="36" cm="1">
        <f t="array" aca="1" ref="BN204" ca="1">_FV(EC204,"Média de volume",TRUE)</f>
        <v>1351130</v>
      </c>
      <c r="BO204" s="36">
        <v>2199000</v>
      </c>
      <c r="BP204" s="36" cm="1">
        <f t="array" aca="1" ref="BP204" ca="1">_FV(EC204,"Volume")</f>
        <v>2199000</v>
      </c>
      <c r="BQ204" s="24" cm="1">
        <f t="array" aca="1" ref="BQ204" ca="1">_FV(EC204,"Beta")</f>
        <v>2.2008999999999999</v>
      </c>
      <c r="BR204" s="71" cm="1">
        <f t="array" aca="1" ref="BR204" ca="1">_FV(EC204,"Variação (%)",TRUE)</f>
        <v>-1.3158000000000001E-2</v>
      </c>
      <c r="BT204" s="17" cm="1">
        <f t="array" aca="1" ref="BT204" ca="1">_FV(EC204,"Baixo")</f>
        <v>11.86</v>
      </c>
      <c r="BU204" s="17" cm="1">
        <f t="array" aca="1" ref="BU204" ca="1">_FV(EC204,"Alto")</f>
        <v>12.2</v>
      </c>
      <c r="BV204" s="24"/>
      <c r="BW204" s="63">
        <f ca="1">SQRT(22.5*(BL204/VLOOKUP(BM204,Fundamentus!A:U,3,FALSE))*(BL204/VLOOKUP(BM204,Fundamentus!A:U,4,FALSE)))</f>
        <v>25.35689175112838</v>
      </c>
      <c r="BY204" s="62">
        <f t="shared" ca="1" si="241"/>
        <v>0</v>
      </c>
      <c r="BZ204" s="8"/>
      <c r="CA204" s="61">
        <f t="shared" si="242"/>
        <v>9.84</v>
      </c>
      <c r="CB204" s="61">
        <f t="shared" si="243"/>
        <v>18.170000000000002</v>
      </c>
      <c r="CC204" s="61">
        <f t="shared" si="244"/>
        <v>12.666825396825399</v>
      </c>
      <c r="CD204" s="14"/>
      <c r="CE204" s="35">
        <f t="shared" si="227"/>
        <v>11.352232843330773</v>
      </c>
      <c r="CF204" s="15">
        <f t="shared" si="245"/>
        <v>12.113000000000056</v>
      </c>
      <c r="CG204" s="35">
        <f t="shared" si="228"/>
        <v>12.87376715666934</v>
      </c>
      <c r="CI204" s="14"/>
      <c r="CJ204" s="17">
        <f t="shared" si="229"/>
        <v>0.60666666666666558</v>
      </c>
      <c r="CK204" s="17">
        <f t="shared" si="230"/>
        <v>5.2233333333333327</v>
      </c>
      <c r="CL204" s="17">
        <f t="shared" si="231"/>
        <v>8.9366666666666674</v>
      </c>
      <c r="CM204" s="38">
        <f t="shared" si="246"/>
        <v>13.553333333333335</v>
      </c>
      <c r="CN204" s="17">
        <f t="shared" si="232"/>
        <v>17.266666666666669</v>
      </c>
      <c r="CO204" s="17">
        <f t="shared" si="233"/>
        <v>21.883333333333336</v>
      </c>
      <c r="CP204" s="17">
        <f t="shared" si="234"/>
        <v>25.596666666666671</v>
      </c>
      <c r="CQ204" s="2" cm="1">
        <f t="array" aca="1" ref="CQ204" ca="1">MAX(_xlfn._xlws.FILTER(CJ204:CP204,CJ204:CP204&lt;BL204))</f>
        <v>8.9366666666666674</v>
      </c>
      <c r="CR204" s="2" cm="1">
        <f t="array" aca="1" ref="CR204" ca="1">MIN(_xlfn._xlws.FILTER($CJ204:$CP204,$CJ204:$CP204&gt;BL204))</f>
        <v>13.553333333333335</v>
      </c>
      <c r="CS204" s="16">
        <f t="shared" ca="1" si="209"/>
        <v>0.51659828422230514</v>
      </c>
      <c r="CT204" s="20">
        <f t="shared" ca="1" si="210"/>
        <v>-0.25829914211115257</v>
      </c>
      <c r="CU204" s="20">
        <f t="shared" ca="1" si="211"/>
        <v>-0.17219942807410171</v>
      </c>
      <c r="CV204" s="20">
        <f t="shared" ca="1" si="212"/>
        <v>-0.10331965684446102</v>
      </c>
      <c r="CW204" s="20">
        <f t="shared" ca="1" si="213"/>
        <v>-5.7399809358033904E-2</v>
      </c>
      <c r="CX204" s="20">
        <f t="shared" ca="1" si="214"/>
        <v>-3.0388134366017949E-2</v>
      </c>
      <c r="CY204" s="20">
        <f t="shared" ca="1" si="215"/>
        <v>-1.5654493461281973E-2</v>
      </c>
      <c r="CZ204" s="20">
        <f t="shared" ca="1" si="216"/>
        <v>-7.9476659111123865E-3</v>
      </c>
      <c r="DA204" s="21">
        <f t="shared" ca="1" si="217"/>
        <v>7.9476659111123865E-3</v>
      </c>
      <c r="DB204" s="21">
        <f t="shared" ca="1" si="218"/>
        <v>1.5654493461281973E-2</v>
      </c>
      <c r="DC204" s="21">
        <f t="shared" ca="1" si="219"/>
        <v>3.0388134366017949E-2</v>
      </c>
      <c r="DD204" s="21">
        <f t="shared" ca="1" si="220"/>
        <v>5.7399809358033904E-2</v>
      </c>
      <c r="DE204" s="21">
        <f t="shared" ca="1" si="221"/>
        <v>0.10331965684446102</v>
      </c>
      <c r="DF204" s="21">
        <f t="shared" ca="1" si="222"/>
        <v>0.17219942807410171</v>
      </c>
      <c r="DG204" s="21">
        <f t="shared" ca="1" si="223"/>
        <v>0.25829914211115257</v>
      </c>
      <c r="DI204" s="16" cm="1">
        <f t="array" aca="1" ref="DI204" ca="1">MAX(_xlfn._xlws.FILTER(CT204:DG204,CT204:DG204&lt;BR204))</f>
        <v>-1.5654493461281973E-2</v>
      </c>
      <c r="DJ204" s="16" cm="1">
        <f t="array" aca="1" ref="DJ204" ca="1">MIN(_xlfn._xlws.FILTER(CT204:DG204,CT204:DG204&gt;BR204))</f>
        <v>-7.9476659111123865E-3</v>
      </c>
      <c r="DK204" s="2" cm="1">
        <f t="array" aca="1" ref="DK204" ca="1">_FV(EC204,"Fechamento anterior",TRUE)</f>
        <v>12.16</v>
      </c>
      <c r="DL204" s="28">
        <f t="shared" ca="1" si="235"/>
        <v>0.32394635901576496</v>
      </c>
      <c r="DM204" s="15">
        <f t="shared" ca="1" si="224"/>
        <v>11.969641359510812</v>
      </c>
      <c r="DN204" s="15">
        <f t="shared" ca="1" si="225"/>
        <v>12.063356382520874</v>
      </c>
      <c r="DO204" s="9"/>
      <c r="DP204" s="9"/>
      <c r="DQ204" s="9"/>
      <c r="DR204" s="89">
        <v>1.5329632562441194E-2</v>
      </c>
      <c r="DS204" s="89">
        <v>1.8013050271114783E-2</v>
      </c>
      <c r="DT204" s="89">
        <v>2.7011674992015955E-2</v>
      </c>
      <c r="DU204" s="89">
        <v>7.7068275501695864E-3</v>
      </c>
      <c r="DV204" s="89">
        <f t="shared" ca="1" si="236"/>
        <v>7.7068275501695864E-3</v>
      </c>
      <c r="DW204" s="72">
        <f t="shared" ca="1" si="237"/>
        <v>-0.14853427755054777</v>
      </c>
      <c r="DX204" s="37"/>
      <c r="DY204" s="35">
        <f t="shared" si="247"/>
        <v>0.38038357833464193</v>
      </c>
      <c r="DZ204" s="56"/>
      <c r="EA204" s="56"/>
      <c r="EC204" s="5" t="e" vm="206">
        <v>#VALUE!</v>
      </c>
      <c r="EE204" s="10" cm="1">
        <f t="array" aca="1" ref="EE204" ca="1">_FV(EC204,"Ações em circulação",TRUE)</f>
        <v>244013000</v>
      </c>
      <c r="EF204" s="18">
        <f>VLOOKUP(BM204,Fundamentus!A:U,5,FALSE)</f>
        <v>0.39900000000000002</v>
      </c>
      <c r="EG204" s="2">
        <f t="shared" ca="1" si="238"/>
        <v>7338736842.1052628</v>
      </c>
      <c r="EH204" s="17">
        <v>575356968.42105258</v>
      </c>
      <c r="EI204" s="17">
        <f t="shared" ca="1" si="239"/>
        <v>575356968.42105258</v>
      </c>
      <c r="EJ204" s="2"/>
      <c r="EK204" s="16">
        <f t="shared" ca="1" si="226"/>
        <v>0</v>
      </c>
      <c r="EL204" s="32" t="str">
        <f>IF(VLOOKUP(BM204,Fundamentus!A:U,3,FALSE)&lt;15,"Bom",IF(VLOOKUP(BM204,Fundamentus!A:U,3,FALSE)&gt;15,"Ruim","n/a"))</f>
        <v>Bom</v>
      </c>
      <c r="EM204" s="28" t="str">
        <f>IF(VLOOKUP(BM204,Fundamentus!A:U,4,FALSE)&lt;1,"Baixo",IF(VLOOKUP(BM204,Fundamentus!A:U,4,FALSE)&lt;1.5,"Moderado",IF(VLOOKUP(BM204,Fundamentus!A:U,4,FALSE)&gt;1.5,"Alto","n/a")))</f>
        <v>Baixo</v>
      </c>
      <c r="EN204" s="17" t="str">
        <f>IF(VLOOKUP(BM204,Fundamentus!A:U,8,FALSE)&lt;0,"Risco elevado",IF(VLOOKUP(BM204,Fundamentus!A:U,8,FALSE)&lt;1,"Saudável",IF(VLOOKUP(BM204,Fundamentus!A:U,8,FALSE)&lt;3,"Estável",IF(VLOOKUP(BM204,Fundamentus!A:U,8,FALSE)&gt;3,"Alerta","n/a"))))</f>
        <v>Estável</v>
      </c>
      <c r="EO204" s="28" t="str">
        <f t="shared" si="240"/>
        <v>Ruim</v>
      </c>
      <c r="EP204" s="17" t="str">
        <f>IF(VLOOKUP(BM204,Fundamentus!A:U,12,FALSE)&lt;2,"Subvalorizada",IF(VLOOKUP(BM204,Fundamentus!A:U,12,FALSE)&lt;6,"Muita barata",IF(VLOOKUP(BM204,Fundamentus!A:U,12,FALSE)&lt;6,"Barata",IF(VLOOKUP(BM204,Fundamentus!A:U,12,FALSE)&lt;8,"Atrativa",IF(VLOOKUP(BM204,Fundamentus!A:U,12,FALSE)&gt;8,"Supervalorizada","n/a")))))</f>
        <v>Muita barata</v>
      </c>
      <c r="EQ204" s="2"/>
      <c r="ER204" s="17" t="str">
        <f>IF(VLOOKUP(BM204,Fundamentus!A:U,17,FALSE)&lt;0.1,"Fraco retorno",IF(VLOOKUP(BM204,Fundamentus!A:U,17,FALSE)&gt;0.1,"Bom retorno","n/a"))</f>
        <v>Bom retorno</v>
      </c>
      <c r="ES204" s="17" t="str">
        <f>IF(VLOOKUP(BM204,Fundamentus!A:U,16,FALSE)&lt;0.1,"Ineficiente",IF(VLOOKUP(BM204,Fundamentus!A:U,16,FALSE)&gt;0.1,"Eficiente","n/a"))</f>
        <v>Ineficiente</v>
      </c>
      <c r="ET204" s="33" t="str">
        <f>IF(VLOOKUP(BM204,Fundamentus!A:U,16,FALSE)&lt;0.1,"Oper. Ineficiente",IF(VLOOKUP(BM204,Fundamentus!A:U,16,FALSE)&gt;0.1,"Oper.Eficiente","n/a"))</f>
        <v>Oper. Ineficiente</v>
      </c>
      <c r="EU204" s="34">
        <f>VLOOKUP(BM204,Fundamentus!A:U,14,FALSE)</f>
        <v>7.8399999999999997E-2</v>
      </c>
      <c r="EV204" s="17" t="str">
        <f>IF(VLOOKUP(BM204,Fundamentus!A:U,21,FALSE)&lt;0,"Negativo",IF(VLOOKUP(BM204,Fundamentus!A:U,21,FALSE)&lt;0.05,"Fraco",IF(VLOOKUP(BM204,Fundamentus!A:U,21,FALSE)&lt;0.1,"Bom",IF(VLOOKUP(BM204,Fundamentus!A:U,21,FALSE)&gt;0.1,"Muito bom","n/a"))))</f>
        <v>Muito bom</v>
      </c>
      <c r="EX204" s="29" t="str">
        <f>IF(VLOOKUP(BM204,Fundamentus!A:U,15,FALSE)&gt;1,"Bom",IF(VLOOKUP(BM204,Fundamentus!A:U,15,FALSE)&lt;1,"Ruim","n/a"))</f>
        <v>Bom</v>
      </c>
      <c r="EY204" s="17" t="str">
        <f>IF(VLOOKUP(BM204,Fundamentus!A:U,20,FALSE)&lt;0.5,"Baixa",IF(VLOOKUP(BM204,Fundamentus!A:U,20,FALSE)&lt;1,"Moderada",IF(VLOOKUP(BM204,Fundamentus!A:U,20,FALSE)&lt;2,"Alerta",IF(VLOOKUP(BM204,Fundamentus!A:U,20,FALSE)&gt;2,"Alta","n/a"))))</f>
        <v>Moderada</v>
      </c>
      <c r="EZ204" s="10"/>
    </row>
    <row r="205" spans="1:156" s="2" customFormat="1" ht="11.25" x14ac:dyDescent="0.2">
      <c r="A205" s="4">
        <v>4.42</v>
      </c>
      <c r="B205" s="4">
        <v>4.54</v>
      </c>
      <c r="C205" s="4">
        <v>4.59</v>
      </c>
      <c r="D205" s="4">
        <v>4.24</v>
      </c>
      <c r="E205" s="4">
        <v>4.1399999999999997</v>
      </c>
      <c r="F205" s="4">
        <v>3.95</v>
      </c>
      <c r="G205" s="4">
        <v>4.43</v>
      </c>
      <c r="H205" s="4">
        <v>4.7699999999999996</v>
      </c>
      <c r="I205" s="4">
        <v>4.53</v>
      </c>
      <c r="J205" s="4">
        <v>5.21</v>
      </c>
      <c r="K205" s="4">
        <v>5.97</v>
      </c>
      <c r="L205" s="4">
        <v>6.06</v>
      </c>
      <c r="M205" s="4">
        <v>5.29</v>
      </c>
      <c r="N205" s="4">
        <v>5.27</v>
      </c>
      <c r="O205" s="4">
        <v>5.54</v>
      </c>
      <c r="P205" s="4">
        <v>5.91</v>
      </c>
      <c r="Q205" s="4">
        <v>5.75</v>
      </c>
      <c r="R205" s="4">
        <v>5.43</v>
      </c>
      <c r="S205" s="4">
        <v>5.16</v>
      </c>
      <c r="T205" s="4">
        <v>5.08</v>
      </c>
      <c r="U205" s="4">
        <v>4.92</v>
      </c>
      <c r="V205" s="4">
        <v>5.07</v>
      </c>
      <c r="W205" s="4">
        <v>4.8499999999999996</v>
      </c>
      <c r="X205" s="4">
        <v>5.46</v>
      </c>
      <c r="Y205" s="4">
        <v>5.46</v>
      </c>
      <c r="Z205" s="4">
        <v>5.89</v>
      </c>
      <c r="AA205" s="4">
        <v>5.25</v>
      </c>
      <c r="AB205" s="4">
        <v>5.24</v>
      </c>
      <c r="AC205" s="4">
        <v>5.6</v>
      </c>
      <c r="AD205" s="4">
        <v>5.74</v>
      </c>
      <c r="AE205" s="4">
        <v>5.9</v>
      </c>
      <c r="AF205" s="4">
        <v>5.5</v>
      </c>
      <c r="AG205" s="4">
        <v>5.49</v>
      </c>
      <c r="AH205" s="4">
        <v>5.39</v>
      </c>
      <c r="AI205" s="4">
        <v>5.46</v>
      </c>
      <c r="AJ205" s="4">
        <v>5.37</v>
      </c>
      <c r="AK205" s="4">
        <v>5.67</v>
      </c>
      <c r="AL205" s="4">
        <v>5.42</v>
      </c>
      <c r="AM205" s="4">
        <v>5.55</v>
      </c>
      <c r="AN205" s="4">
        <v>5.34</v>
      </c>
      <c r="AO205" s="4">
        <v>5.49</v>
      </c>
      <c r="AP205" s="4">
        <v>5.44</v>
      </c>
      <c r="AQ205" s="4">
        <v>5.83</v>
      </c>
      <c r="AR205" s="4">
        <v>5.26</v>
      </c>
      <c r="AS205" s="4">
        <v>5.47</v>
      </c>
      <c r="AT205" s="4">
        <v>5.31</v>
      </c>
      <c r="AU205" s="4">
        <v>5.46</v>
      </c>
      <c r="AV205" s="4">
        <v>5.66</v>
      </c>
      <c r="AW205" s="4">
        <v>5.95</v>
      </c>
      <c r="AX205" s="4">
        <v>5.87</v>
      </c>
      <c r="AY205" s="12">
        <v>6.21</v>
      </c>
      <c r="AZ205" s="12">
        <v>6.11</v>
      </c>
      <c r="BA205" s="12">
        <v>5.82</v>
      </c>
      <c r="BB205" s="15">
        <v>5.76</v>
      </c>
      <c r="BC205" s="52">
        <v>5.99</v>
      </c>
      <c r="BD205" s="52">
        <v>6.21</v>
      </c>
      <c r="BE205" s="52">
        <v>6.39</v>
      </c>
      <c r="BF205" s="52">
        <v>6.55</v>
      </c>
      <c r="BG205" s="67">
        <v>6.87</v>
      </c>
      <c r="BH205" s="52">
        <v>6.8</v>
      </c>
      <c r="BI205" s="52">
        <v>7.13</v>
      </c>
      <c r="BJ205" s="52">
        <v>6.6</v>
      </c>
      <c r="BK205" s="52">
        <v>6.36</v>
      </c>
      <c r="BL205" s="52" cm="1">
        <f t="array" aca="1" ref="BL205" ca="1">_FV(EC205,"Preço")</f>
        <v>6.36</v>
      </c>
      <c r="BM205" s="70" t="s">
        <v>201</v>
      </c>
      <c r="BN205" s="36" cm="1">
        <f t="array" aca="1" ref="BN205" ca="1">_FV(EC205,"Média de volume",TRUE)</f>
        <v>144570</v>
      </c>
      <c r="BO205" s="36">
        <v>23000</v>
      </c>
      <c r="BP205" s="36" cm="1">
        <f t="array" aca="1" ref="BP205" ca="1">_FV(EC205,"Volume")</f>
        <v>23000</v>
      </c>
      <c r="BQ205" s="24" cm="1">
        <f t="array" aca="1" ref="BQ205" ca="1">_FV(EC205,"Beta")</f>
        <v>0.87350000000000005</v>
      </c>
      <c r="BR205" s="71" cm="1">
        <f t="array" aca="1" ref="BR205" ca="1">_FV(EC205,"Variação (%)",TRUE)</f>
        <v>-1.2421999999999999E-2</v>
      </c>
      <c r="BT205" s="17" cm="1">
        <f t="array" aca="1" ref="BT205" ca="1">_FV(EC205,"Baixo")</f>
        <v>6.35</v>
      </c>
      <c r="BU205" s="17" cm="1">
        <f t="array" aca="1" ref="BU205" ca="1">_FV(EC205,"Alto")</f>
        <v>6.44</v>
      </c>
      <c r="BV205" s="24"/>
      <c r="BW205" s="63">
        <f ca="1">SQRT(22.5*(BL205/VLOOKUP(BM205,Fundamentus!A:U,3,FALSE))*(BL205/VLOOKUP(BM205,Fundamentus!A:U,4,FALSE)))</f>
        <v>11.42863344660883</v>
      </c>
      <c r="BY205" s="62">
        <f t="shared" ca="1" si="241"/>
        <v>0</v>
      </c>
      <c r="BZ205" s="8"/>
      <c r="CA205" s="61">
        <f t="shared" si="242"/>
        <v>3.95</v>
      </c>
      <c r="CB205" s="61">
        <f t="shared" si="243"/>
        <v>7.13</v>
      </c>
      <c r="CC205" s="61">
        <f t="shared" si="244"/>
        <v>5.5141269841269835</v>
      </c>
      <c r="CD205" s="14"/>
      <c r="CE205" s="35">
        <f t="shared" si="227"/>
        <v>6.1334228268546713</v>
      </c>
      <c r="CF205" s="15">
        <f t="shared" si="245"/>
        <v>6.6299999999998818</v>
      </c>
      <c r="CG205" s="35">
        <f t="shared" si="228"/>
        <v>7.1265771731450922</v>
      </c>
      <c r="CI205" s="14"/>
      <c r="CJ205" s="17">
        <f t="shared" si="229"/>
        <v>1.4766666666666675</v>
      </c>
      <c r="CK205" s="17">
        <f t="shared" si="230"/>
        <v>2.7133333333333338</v>
      </c>
      <c r="CL205" s="17">
        <f t="shared" si="231"/>
        <v>4.6566666666666672</v>
      </c>
      <c r="CM205" s="38">
        <f t="shared" si="246"/>
        <v>5.8933333333333335</v>
      </c>
      <c r="CN205" s="17">
        <f t="shared" si="232"/>
        <v>7.8366666666666669</v>
      </c>
      <c r="CO205" s="17">
        <f t="shared" si="233"/>
        <v>9.0733333333333341</v>
      </c>
      <c r="CP205" s="17">
        <f t="shared" si="234"/>
        <v>11.016666666666666</v>
      </c>
      <c r="CQ205" s="2" cm="1">
        <f t="array" aca="1" ref="CQ205" ca="1">MAX(_xlfn._xlws.FILTER(CJ205:CP205,CJ205:CP205&lt;BL205))</f>
        <v>5.8933333333333335</v>
      </c>
      <c r="CR205" s="2" cm="1">
        <f t="array" aca="1" ref="CR205" ca="1">MIN(_xlfn._xlws.FILTER($CJ205:$CP205,$CJ205:$CP205&gt;BL205))</f>
        <v>7.8366666666666669</v>
      </c>
      <c r="CS205" s="16">
        <f t="shared" ca="1" si="209"/>
        <v>0.3297511312217194</v>
      </c>
      <c r="CT205" s="20">
        <f t="shared" ca="1" si="210"/>
        <v>-0.1648755656108597</v>
      </c>
      <c r="CU205" s="20">
        <f t="shared" ca="1" si="211"/>
        <v>-0.10991704374057314</v>
      </c>
      <c r="CV205" s="20">
        <f t="shared" ca="1" si="212"/>
        <v>-6.5950226244343879E-2</v>
      </c>
      <c r="CW205" s="20">
        <f t="shared" ca="1" si="213"/>
        <v>-3.6639014580191046E-2</v>
      </c>
      <c r="CX205" s="20">
        <f t="shared" ca="1" si="214"/>
        <v>-1.9397125365983495E-2</v>
      </c>
      <c r="CY205" s="20">
        <f t="shared" ca="1" si="215"/>
        <v>-9.992458521870284E-3</v>
      </c>
      <c r="CZ205" s="20">
        <f t="shared" ca="1" si="216"/>
        <v>-5.0730943264879905E-3</v>
      </c>
      <c r="DA205" s="21">
        <f t="shared" ca="1" si="217"/>
        <v>5.0730943264879905E-3</v>
      </c>
      <c r="DB205" s="21">
        <f t="shared" ca="1" si="218"/>
        <v>9.992458521870284E-3</v>
      </c>
      <c r="DC205" s="21">
        <f t="shared" ca="1" si="219"/>
        <v>1.9397125365983495E-2</v>
      </c>
      <c r="DD205" s="21">
        <f t="shared" ca="1" si="220"/>
        <v>3.6639014580191046E-2</v>
      </c>
      <c r="DE205" s="21">
        <f t="shared" ca="1" si="221"/>
        <v>6.5950226244343879E-2</v>
      </c>
      <c r="DF205" s="21">
        <f t="shared" ca="1" si="222"/>
        <v>0.10991704374057314</v>
      </c>
      <c r="DG205" s="21">
        <f t="shared" ca="1" si="223"/>
        <v>0.1648755656108597</v>
      </c>
      <c r="DI205" s="16" cm="1">
        <f t="array" aca="1" ref="DI205" ca="1">MAX(_xlfn._xlws.FILTER(CT205:DG205,CT205:DG205&lt;BR205))</f>
        <v>-1.9397125365983495E-2</v>
      </c>
      <c r="DJ205" s="16" cm="1">
        <f t="array" aca="1" ref="DJ205" ca="1">MIN(_xlfn._xlws.FILTER(CT205:DG205,CT205:DG205&gt;BR205))</f>
        <v>-9.992458521870284E-3</v>
      </c>
      <c r="DK205" s="2" cm="1">
        <f t="array" aca="1" ref="DK205" ca="1">_FV(EC205,"Fechamento anterior",TRUE)</f>
        <v>6.44</v>
      </c>
      <c r="DL205" s="28">
        <f t="shared" ca="1" si="235"/>
        <v>0.74162809094104598</v>
      </c>
      <c r="DM205" s="15">
        <f t="shared" ca="1" si="224"/>
        <v>6.315082512643067</v>
      </c>
      <c r="DN205" s="15">
        <f t="shared" ca="1" si="225"/>
        <v>6.3756485671191561</v>
      </c>
      <c r="DO205" s="9"/>
      <c r="DP205" s="9"/>
      <c r="DQ205" s="9"/>
      <c r="DR205" s="89">
        <v>3.9224070352475021E-3</v>
      </c>
      <c r="DS205" s="89">
        <v>9.4154728544380423E-3</v>
      </c>
      <c r="DT205" s="89">
        <v>1.7241889214207551E-2</v>
      </c>
      <c r="DU205" s="89">
        <v>9.4046668441132106E-3</v>
      </c>
      <c r="DV205" s="89">
        <f t="shared" ca="1" si="236"/>
        <v>9.4046668441132106E-3</v>
      </c>
      <c r="DW205" s="72">
        <f t="shared" ca="1" si="237"/>
        <v>-0.54372213343952347</v>
      </c>
      <c r="DX205" s="37"/>
      <c r="DY205" s="35">
        <f t="shared" si="247"/>
        <v>0.24828858657260544</v>
      </c>
      <c r="DZ205" s="56"/>
      <c r="EA205" s="56"/>
      <c r="EC205" s="2" t="e" vm="207">
        <v>#VALUE!</v>
      </c>
      <c r="EE205" s="10" cm="1">
        <f t="array" aca="1" ref="EE205" ca="1">_FV(EC205,"Ações em circulação",TRUE)</f>
        <v>61856210</v>
      </c>
      <c r="EF205" s="18">
        <f>VLOOKUP(BM205,Fundamentus!A:U,5,FALSE)</f>
        <v>1.016</v>
      </c>
      <c r="EG205" s="2">
        <f t="shared" ca="1" si="238"/>
        <v>387210133.46456695</v>
      </c>
      <c r="EH205" s="17">
        <v>58739777.246574804</v>
      </c>
      <c r="EI205" s="17">
        <f t="shared" ca="1" si="239"/>
        <v>58739777.246574804</v>
      </c>
      <c r="EK205" s="16">
        <f t="shared" ca="1" si="226"/>
        <v>0</v>
      </c>
      <c r="EL205" s="32" t="str">
        <f>IF(VLOOKUP(BM205,Fundamentus!A:U,3,FALSE)&lt;15,"Bom",IF(VLOOKUP(BM205,Fundamentus!A:U,3,FALSE)&gt;15,"Ruim","n/a"))</f>
        <v>Bom</v>
      </c>
      <c r="EM205" s="28" t="str">
        <f>IF(VLOOKUP(BM205,Fundamentus!A:U,4,FALSE)&lt;1,"Baixo",IF(VLOOKUP(BM205,Fundamentus!A:U,4,FALSE)&lt;1.5,"Moderado",IF(VLOOKUP(BM205,Fundamentus!A:U,4,FALSE)&gt;1.5,"Alto","n/a")))</f>
        <v>Moderado</v>
      </c>
      <c r="EN205" s="17" t="str">
        <f>IF(VLOOKUP(BM205,Fundamentus!A:U,8,FALSE)&lt;0,"Risco elevado",IF(VLOOKUP(BM205,Fundamentus!A:U,8,FALSE)&lt;1,"Saudável",IF(VLOOKUP(BM205,Fundamentus!A:U,8,FALSE)&lt;3,"Estável",IF(VLOOKUP(BM205,Fundamentus!A:U,8,FALSE)&gt;3,"Alerta","n/a"))))</f>
        <v>Estável</v>
      </c>
      <c r="EO205" s="28" t="str">
        <f t="shared" si="240"/>
        <v>Bom</v>
      </c>
      <c r="EP205" s="17" t="str">
        <f>IF(VLOOKUP(BM205,Fundamentus!A:U,12,FALSE)&lt;2,"Subvalorizada",IF(VLOOKUP(BM205,Fundamentus!A:U,12,FALSE)&lt;6,"Muita barata",IF(VLOOKUP(BM205,Fundamentus!A:U,12,FALSE)&lt;6,"Barata",IF(VLOOKUP(BM205,Fundamentus!A:U,12,FALSE)&lt;8,"Atrativa",IF(VLOOKUP(BM205,Fundamentus!A:U,12,FALSE)&gt;8,"Supervalorizada","n/a")))))</f>
        <v>Atrativa</v>
      </c>
      <c r="ER205" s="17" t="str">
        <f>IF(VLOOKUP(BM205,Fundamentus!A:U,17,FALSE)&lt;0.1,"Fraco retorno",IF(VLOOKUP(BM205,Fundamentus!A:U,17,FALSE)&gt;0.1,"Bom retorno","n/a"))</f>
        <v>Bom retorno</v>
      </c>
      <c r="ES205" s="17" t="str">
        <f>IF(VLOOKUP(BM205,Fundamentus!A:U,16,FALSE)&lt;0.1,"Ineficiente",IF(VLOOKUP(BM205,Fundamentus!A:U,16,FALSE)&gt;0.1,"Eficiente","n/a"))</f>
        <v>Eficiente</v>
      </c>
      <c r="ET205" s="33" t="str">
        <f>IF(VLOOKUP(BM205,Fundamentus!A:U,16,FALSE)&lt;0.1,"Oper. Ineficiente",IF(VLOOKUP(BM205,Fundamentus!A:U,16,FALSE)&gt;0.1,"Oper.Eficiente","n/a"))</f>
        <v>Oper.Eficiente</v>
      </c>
      <c r="EU205" s="34">
        <f>VLOOKUP(BM205,Fundamentus!A:U,14,FALSE)</f>
        <v>0.1517</v>
      </c>
      <c r="EV205" s="17" t="str">
        <f>IF(VLOOKUP(BM205,Fundamentus!A:U,21,FALSE)&lt;0,"Negativo",IF(VLOOKUP(BM205,Fundamentus!A:U,21,FALSE)&lt;0.05,"Fraco",IF(VLOOKUP(BM205,Fundamentus!A:U,21,FALSE)&lt;0.1,"Bom",IF(VLOOKUP(BM205,Fundamentus!A:U,21,FALSE)&gt;0.1,"Muito bom","n/a"))))</f>
        <v>Muito bom</v>
      </c>
      <c r="EX205" s="29" t="str">
        <f>IF(VLOOKUP(BM205,Fundamentus!A:U,15,FALSE)&gt;1,"Bom",IF(VLOOKUP(BM205,Fundamentus!A:U,15,FALSE)&lt;1,"Ruim","n/a"))</f>
        <v>Bom</v>
      </c>
      <c r="EY205" s="17" t="str">
        <f>IF(VLOOKUP(BM205,Fundamentus!A:U,20,FALSE)&lt;0.5,"Baixa",IF(VLOOKUP(BM205,Fundamentus!A:U,20,FALSE)&lt;1,"Moderada",IF(VLOOKUP(BM205,Fundamentus!A:U,20,FALSE)&lt;2,"Alerta",IF(VLOOKUP(BM205,Fundamentus!A:U,20,FALSE)&gt;2,"Alta","n/a"))))</f>
        <v>Baixa</v>
      </c>
      <c r="EZ205" s="10"/>
    </row>
    <row r="206" spans="1:156" s="2" customFormat="1" ht="11.25" x14ac:dyDescent="0.2">
      <c r="A206" s="4">
        <v>28.59</v>
      </c>
      <c r="B206" s="4">
        <v>29.18</v>
      </c>
      <c r="C206" s="4">
        <v>27.03</v>
      </c>
      <c r="D206" s="4">
        <v>26.81</v>
      </c>
      <c r="E206" s="4">
        <v>27.2</v>
      </c>
      <c r="F206" s="4">
        <v>28.25</v>
      </c>
      <c r="G206" s="4">
        <v>30.74</v>
      </c>
      <c r="H206" s="4">
        <v>32.369999999999997</v>
      </c>
      <c r="I206" s="4">
        <v>32.54</v>
      </c>
      <c r="J206" s="4">
        <v>32.630000000000003</v>
      </c>
      <c r="K206" s="4">
        <v>32.46</v>
      </c>
      <c r="L206" s="4">
        <v>31.82</v>
      </c>
      <c r="M206" s="4">
        <v>30.48</v>
      </c>
      <c r="N206" s="4">
        <v>28.45</v>
      </c>
      <c r="O206" s="4">
        <v>29.22</v>
      </c>
      <c r="P206" s="4">
        <v>29.22</v>
      </c>
      <c r="Q206" s="4">
        <v>29.35</v>
      </c>
      <c r="R206" s="4">
        <v>27.72</v>
      </c>
      <c r="S206" s="4">
        <v>26.53</v>
      </c>
      <c r="T206" s="4">
        <v>26.2</v>
      </c>
      <c r="U206" s="4">
        <v>27.11</v>
      </c>
      <c r="V206" s="4">
        <v>26.5</v>
      </c>
      <c r="W206" s="4">
        <v>27.84</v>
      </c>
      <c r="X206" s="4">
        <v>26.42</v>
      </c>
      <c r="Y206" s="4">
        <v>26.01</v>
      </c>
      <c r="Z206" s="4">
        <v>25.54</v>
      </c>
      <c r="AA206" s="4">
        <v>26.64</v>
      </c>
      <c r="AB206" s="4">
        <v>25.37</v>
      </c>
      <c r="AC206" s="4">
        <v>24.79</v>
      </c>
      <c r="AD206" s="4">
        <v>25.39</v>
      </c>
      <c r="AE206" s="4">
        <v>25.4</v>
      </c>
      <c r="AF206" s="4">
        <v>25.23</v>
      </c>
      <c r="AG206" s="4">
        <v>24.69</v>
      </c>
      <c r="AH206" s="4">
        <v>24.11</v>
      </c>
      <c r="AI206" s="4">
        <v>23.59</v>
      </c>
      <c r="AJ206" s="4">
        <v>24.2</v>
      </c>
      <c r="AK206" s="4">
        <v>24.27</v>
      </c>
      <c r="AL206" s="4">
        <v>22.99</v>
      </c>
      <c r="AM206" s="4">
        <v>22.69</v>
      </c>
      <c r="AN206" s="4">
        <v>22.69</v>
      </c>
      <c r="AO206" s="4">
        <v>22.41</v>
      </c>
      <c r="AP206" s="4">
        <v>22.83</v>
      </c>
      <c r="AQ206" s="4">
        <v>22.67</v>
      </c>
      <c r="AR206" s="4">
        <v>21.17</v>
      </c>
      <c r="AS206" s="4">
        <v>21.41</v>
      </c>
      <c r="AT206" s="4">
        <v>22.2</v>
      </c>
      <c r="AU206" s="4">
        <v>22.47</v>
      </c>
      <c r="AV206" s="4">
        <v>20.71</v>
      </c>
      <c r="AW206" s="4">
        <v>19</v>
      </c>
      <c r="AX206" s="4">
        <v>19.920000000000002</v>
      </c>
      <c r="AY206" s="12">
        <v>19.579999999999998</v>
      </c>
      <c r="AZ206" s="12">
        <v>20.100000000000001</v>
      </c>
      <c r="BA206" s="12">
        <v>19.510000000000002</v>
      </c>
      <c r="BB206" s="15">
        <v>19.29</v>
      </c>
      <c r="BC206" s="52">
        <v>20.07</v>
      </c>
      <c r="BD206" s="52">
        <v>20.97</v>
      </c>
      <c r="BE206" s="52">
        <v>21.16</v>
      </c>
      <c r="BF206" s="52">
        <v>19.95</v>
      </c>
      <c r="BG206" s="67">
        <v>20.18</v>
      </c>
      <c r="BH206" s="52">
        <v>19.5</v>
      </c>
      <c r="BI206" s="52">
        <v>17.670000000000002</v>
      </c>
      <c r="BJ206" s="52">
        <v>17.850000000000001</v>
      </c>
      <c r="BK206" s="52">
        <v>17.13</v>
      </c>
      <c r="BL206" s="52" cm="1">
        <f t="array" aca="1" ref="BL206" ca="1">_FV(EC206,"Preço")</f>
        <v>17.13</v>
      </c>
      <c r="BM206" s="69" t="s">
        <v>202</v>
      </c>
      <c r="BN206" s="36" cm="1">
        <f t="array" aca="1" ref="BN206" ca="1">_FV(EC206,"Média de volume",TRUE)</f>
        <v>1661020</v>
      </c>
      <c r="BO206" s="36">
        <v>1445300</v>
      </c>
      <c r="BP206" s="36" cm="1">
        <f t="array" aca="1" ref="BP206" ca="1">_FV(EC206,"Volume")</f>
        <v>1445300</v>
      </c>
      <c r="BQ206" s="24" cm="1">
        <f t="array" aca="1" ref="BQ206" ca="1">_FV(EC206,"Beta")</f>
        <v>0.35110000000000002</v>
      </c>
      <c r="BR206" s="71" cm="1">
        <f t="array" aca="1" ref="BR206" ca="1">_FV(EC206,"Variação (%)",TRUE)</f>
        <v>2.3410000000000002E-3</v>
      </c>
      <c r="BT206" s="17" cm="1">
        <f t="array" aca="1" ref="BT206" ca="1">_FV(EC206,"Baixo")</f>
        <v>16.940000000000001</v>
      </c>
      <c r="BU206" s="17" cm="1">
        <f t="array" aca="1" ref="BU206" ca="1">_FV(EC206,"Alto")</f>
        <v>17.27</v>
      </c>
      <c r="BV206" s="24"/>
      <c r="BW206" s="63">
        <f ca="1">SQRT(22.5*(BL206/VLOOKUP(BM206,Fundamentus!A:U,3,FALSE))*(BL206/VLOOKUP(BM206,Fundamentus!A:U,4,FALSE)))</f>
        <v>32.102201567610059</v>
      </c>
      <c r="BY206" s="62">
        <f t="shared" ca="1" si="241"/>
        <v>0</v>
      </c>
      <c r="BZ206" s="8"/>
      <c r="CA206" s="61">
        <f t="shared" si="242"/>
        <v>17.13</v>
      </c>
      <c r="CB206" s="61">
        <f t="shared" si="243"/>
        <v>32.630000000000003</v>
      </c>
      <c r="CC206" s="61">
        <f t="shared" si="244"/>
        <v>24.698571428571441</v>
      </c>
      <c r="CD206" s="14"/>
      <c r="CE206" s="35">
        <f t="shared" si="227"/>
        <v>15.29098148155364</v>
      </c>
      <c r="CF206" s="15">
        <f t="shared" si="245"/>
        <v>17.691000000000713</v>
      </c>
      <c r="CG206" s="35">
        <f t="shared" si="228"/>
        <v>20.091018518447786</v>
      </c>
      <c r="CI206" s="14"/>
      <c r="CJ206" s="17">
        <f t="shared" si="229"/>
        <v>-3.0566666666666613</v>
      </c>
      <c r="CK206" s="17">
        <f t="shared" si="230"/>
        <v>7.0366666666666688</v>
      </c>
      <c r="CL206" s="17">
        <f t="shared" si="231"/>
        <v>12.443333333333342</v>
      </c>
      <c r="CM206" s="38">
        <f t="shared" si="246"/>
        <v>22.536666666666672</v>
      </c>
      <c r="CN206" s="17">
        <f t="shared" si="232"/>
        <v>27.943333333333346</v>
      </c>
      <c r="CO206" s="17">
        <f t="shared" si="233"/>
        <v>38.036666666666676</v>
      </c>
      <c r="CP206" s="17">
        <f t="shared" si="234"/>
        <v>43.443333333333349</v>
      </c>
      <c r="CQ206" s="2" cm="1">
        <f t="array" aca="1" ref="CQ206" ca="1">MAX(_xlfn._xlws.FILTER(CJ206:CP206,CJ206:CP206&lt;BL206))</f>
        <v>12.443333333333342</v>
      </c>
      <c r="CR206" s="2" cm="1">
        <f t="array" aca="1" ref="CR206" ca="1">MIN(_xlfn._xlws.FILTER($CJ206:$CP206,$CJ206:$CP206&gt;BL206))</f>
        <v>22.536666666666672</v>
      </c>
      <c r="CS206" s="16">
        <f t="shared" ref="CS206:CS255" ca="1" si="248">(CR206/CQ206)-1</f>
        <v>0.81114385212965368</v>
      </c>
      <c r="CT206" s="20">
        <f t="shared" ref="CT206:CT255" ca="1" si="249">-$CS206/2</f>
        <v>-0.40557192606482684</v>
      </c>
      <c r="CU206" s="20">
        <f t="shared" ref="CU206:CU255" ca="1" si="250">-$CS206/3</f>
        <v>-0.27038128404321787</v>
      </c>
      <c r="CV206" s="20">
        <f t="shared" ref="CV206:CV255" ca="1" si="251">-$CS206/5</f>
        <v>-0.16222877042593073</v>
      </c>
      <c r="CW206" s="20">
        <f t="shared" ref="CW206:CW255" ca="1" si="252">-$CS206/9</f>
        <v>-9.0127094681072634E-2</v>
      </c>
      <c r="CX206" s="20">
        <f t="shared" ref="CX206:CX255" ca="1" si="253">-$CS206/17</f>
        <v>-4.7714344242920807E-2</v>
      </c>
      <c r="CY206" s="20">
        <f t="shared" ref="CY206:CY255" ca="1" si="254">-$CS206/33</f>
        <v>-2.4580116731201626E-2</v>
      </c>
      <c r="CZ206" s="20">
        <f t="shared" ref="CZ206:CZ255" ca="1" si="255">-$CS206/65</f>
        <v>-1.2479136186610057E-2</v>
      </c>
      <c r="DA206" s="21">
        <f t="shared" ref="DA206:DA255" ca="1" si="256">-$CS206/65*-1</f>
        <v>1.2479136186610057E-2</v>
      </c>
      <c r="DB206" s="21">
        <f t="shared" ref="DB206:DB255" ca="1" si="257">-$CS206/33*-1</f>
        <v>2.4580116731201626E-2</v>
      </c>
      <c r="DC206" s="21">
        <f t="shared" ref="DC206:DC255" ca="1" si="258">-$CS206/17*-1</f>
        <v>4.7714344242920807E-2</v>
      </c>
      <c r="DD206" s="21">
        <f t="shared" ref="DD206:DD255" ca="1" si="259">-$CS206/9*-1</f>
        <v>9.0127094681072634E-2</v>
      </c>
      <c r="DE206" s="21">
        <f t="shared" ref="DE206:DE255" ca="1" si="260">-$CS206/5*-1</f>
        <v>0.16222877042593073</v>
      </c>
      <c r="DF206" s="21">
        <f t="shared" ref="DF206:DF255" ca="1" si="261">-$CS206/3*-1</f>
        <v>0.27038128404321787</v>
      </c>
      <c r="DG206" s="21">
        <f t="shared" ref="DG206:DG255" ca="1" si="262">-$CS206/2*-1</f>
        <v>0.40557192606482684</v>
      </c>
      <c r="DI206" s="16" cm="1">
        <f t="array" aca="1" ref="DI206" ca="1">MAX(_xlfn._xlws.FILTER(CT206:DG206,CT206:DG206&lt;BR206))</f>
        <v>-1.2479136186610057E-2</v>
      </c>
      <c r="DJ206" s="16" cm="1">
        <f t="array" aca="1" ref="DJ206" ca="1">MIN(_xlfn._xlws.FILTER(CT206:DG206,CT206:DG206&gt;BR206))</f>
        <v>1.2479136186610057E-2</v>
      </c>
      <c r="DK206" s="2" cm="1">
        <f t="array" aca="1" ref="DK206" ca="1">_FV(EC206,"Fechamento anterior",TRUE)</f>
        <v>17.09</v>
      </c>
      <c r="DL206" s="28">
        <f t="shared" ca="1" si="235"/>
        <v>0.59377852738590275</v>
      </c>
      <c r="DM206" s="15">
        <f t="shared" ref="DM206:DM255" ca="1" si="263">DK206+(DK206*DI206)</f>
        <v>16.876731562570836</v>
      </c>
      <c r="DN206" s="15">
        <f t="shared" ref="DN206:DN255" ca="1" si="264">DK206+(DK206*DJ206)</f>
        <v>17.303268437429164</v>
      </c>
      <c r="DO206" s="9"/>
      <c r="DP206" s="9"/>
      <c r="DQ206" s="9"/>
      <c r="DR206" s="89">
        <v>1.816581587748636E-2</v>
      </c>
      <c r="DS206" s="89">
        <v>1.7547814092751773E-2</v>
      </c>
      <c r="DT206" s="89">
        <v>2.3823924058238036E-2</v>
      </c>
      <c r="DU206" s="89">
        <v>2.3823924058238036E-2</v>
      </c>
      <c r="DV206" s="89">
        <f t="shared" ca="1" si="236"/>
        <v>2.4958272373220115E-2</v>
      </c>
      <c r="DW206" s="72">
        <f t="shared" ca="1" si="237"/>
        <v>-0.23374819639462946</v>
      </c>
      <c r="DX206" s="37"/>
      <c r="DY206" s="35">
        <f t="shared" si="247"/>
        <v>1.2000092592235367</v>
      </c>
      <c r="DZ206" s="56"/>
      <c r="EA206" s="56"/>
      <c r="EC206" s="2" t="e" vm="208">
        <v>#VALUE!</v>
      </c>
      <c r="EE206" s="10" cm="1">
        <f t="array" aca="1" ref="EE206" ca="1">_FV(EC206,"Ações em circulação",TRUE)</f>
        <v>332435400</v>
      </c>
      <c r="EF206" s="18">
        <f>VLOOKUP(BM206,Fundamentus!A:U,5,FALSE)</f>
        <v>0.85499999999999998</v>
      </c>
      <c r="EG206" s="2">
        <f t="shared" ca="1" si="238"/>
        <v>6660372400</v>
      </c>
      <c r="EH206" s="17">
        <v>915801205.00000012</v>
      </c>
      <c r="EI206" s="17">
        <f t="shared" ca="1" si="239"/>
        <v>915801205.00000012</v>
      </c>
      <c r="EK206" s="16">
        <f t="shared" ca="1" si="226"/>
        <v>0</v>
      </c>
      <c r="EL206" s="32" t="str">
        <f>IF(VLOOKUP(BM206,Fundamentus!A:U,3,FALSE)&lt;15,"Bom",IF(VLOOKUP(BM206,Fundamentus!A:U,3,FALSE)&gt;15,"Ruim","n/a"))</f>
        <v>Bom</v>
      </c>
      <c r="EM206" s="28" t="str">
        <f>IF(VLOOKUP(BM206,Fundamentus!A:U,4,FALSE)&lt;1,"Baixo",IF(VLOOKUP(BM206,Fundamentus!A:U,4,FALSE)&lt;1.5,"Moderado",IF(VLOOKUP(BM206,Fundamentus!A:U,4,FALSE)&gt;1.5,"Alto","n/a")))</f>
        <v>Moderado</v>
      </c>
      <c r="EN206" s="17" t="str">
        <f>IF(VLOOKUP(BM206,Fundamentus!A:U,8,FALSE)&lt;0,"Risco elevado",IF(VLOOKUP(BM206,Fundamentus!A:U,8,FALSE)&lt;1,"Saudável",IF(VLOOKUP(BM206,Fundamentus!A:U,8,FALSE)&lt;3,"Estável",IF(VLOOKUP(BM206,Fundamentus!A:U,8,FALSE)&gt;3,"Alerta","n/a"))))</f>
        <v>Estável</v>
      </c>
      <c r="EO206" s="28" t="str">
        <f t="shared" si="240"/>
        <v>Ruim</v>
      </c>
      <c r="EP206" s="17" t="str">
        <f>IF(VLOOKUP(BM206,Fundamentus!A:U,12,FALSE)&lt;2,"Subvalorizada",IF(VLOOKUP(BM206,Fundamentus!A:U,12,FALSE)&lt;6,"Muita barata",IF(VLOOKUP(BM206,Fundamentus!A:U,12,FALSE)&lt;6,"Barata",IF(VLOOKUP(BM206,Fundamentus!A:U,12,FALSE)&lt;8,"Atrativa",IF(VLOOKUP(BM206,Fundamentus!A:U,12,FALSE)&gt;8,"Supervalorizada","n/a")))))</f>
        <v>Muita barata</v>
      </c>
      <c r="ER206" s="17" t="str">
        <f>IF(VLOOKUP(BM206,Fundamentus!A:U,17,FALSE)&lt;0.1,"Fraco retorno",IF(VLOOKUP(BM206,Fundamentus!A:U,17,FALSE)&gt;0.1,"Bom retorno","n/a"))</f>
        <v>Bom retorno</v>
      </c>
      <c r="ES206" s="17" t="str">
        <f>IF(VLOOKUP(BM206,Fundamentus!A:U,16,FALSE)&lt;0.1,"Ineficiente",IF(VLOOKUP(BM206,Fundamentus!A:U,16,FALSE)&gt;0.1,"Eficiente","n/a"))</f>
        <v>Ineficiente</v>
      </c>
      <c r="ET206" s="33" t="str">
        <f>IF(VLOOKUP(BM206,Fundamentus!A:U,16,FALSE)&lt;0.1,"Oper. Ineficiente",IF(VLOOKUP(BM206,Fundamentus!A:U,16,FALSE)&gt;0.1,"Oper.Eficiente","n/a"))</f>
        <v>Oper. Ineficiente</v>
      </c>
      <c r="EU206" s="34">
        <f>VLOOKUP(BM206,Fundamentus!A:U,14,FALSE)</f>
        <v>0.13750000000000001</v>
      </c>
      <c r="EV206" s="17" t="str">
        <f>IF(VLOOKUP(BM206,Fundamentus!A:U,21,FALSE)&lt;0,"Negativo",IF(VLOOKUP(BM206,Fundamentus!A:U,21,FALSE)&lt;0.05,"Fraco",IF(VLOOKUP(BM206,Fundamentus!A:U,21,FALSE)&lt;0.1,"Bom",IF(VLOOKUP(BM206,Fundamentus!A:U,21,FALSE)&gt;0.1,"Muito bom","n/a"))))</f>
        <v>Muito bom</v>
      </c>
      <c r="EX206" s="29" t="str">
        <f>IF(VLOOKUP(BM206,Fundamentus!A:U,15,FALSE)&gt;1,"Bom",IF(VLOOKUP(BM206,Fundamentus!A:U,15,FALSE)&lt;1,"Ruim","n/a"))</f>
        <v>Bom</v>
      </c>
      <c r="EY206" s="17" t="str">
        <f>IF(VLOOKUP(BM206,Fundamentus!A:U,20,FALSE)&lt;0.5,"Baixa",IF(VLOOKUP(BM206,Fundamentus!A:U,20,FALSE)&lt;1,"Moderada",IF(VLOOKUP(BM206,Fundamentus!A:U,20,FALSE)&lt;2,"Alerta",IF(VLOOKUP(BM206,Fundamentus!A:U,20,FALSE)&gt;2,"Alta","n/a"))))</f>
        <v>Alerta</v>
      </c>
      <c r="EZ206" s="10"/>
    </row>
    <row r="207" spans="1:156" s="2" customFormat="1" ht="11.25" x14ac:dyDescent="0.2">
      <c r="A207" s="4">
        <v>9.09</v>
      </c>
      <c r="B207" s="4">
        <v>9.02</v>
      </c>
      <c r="C207" s="4">
        <v>8.8800000000000008</v>
      </c>
      <c r="D207" s="4">
        <v>8.7100000000000009</v>
      </c>
      <c r="E207" s="4">
        <v>8.5</v>
      </c>
      <c r="F207" s="4">
        <v>8.2899999999999991</v>
      </c>
      <c r="G207" s="4">
        <v>8.2799999999999994</v>
      </c>
      <c r="H207" s="4">
        <v>8.3699999999999992</v>
      </c>
      <c r="I207" s="4">
        <v>8.5</v>
      </c>
      <c r="J207" s="4">
        <v>9</v>
      </c>
      <c r="K207" s="4">
        <v>8.7200000000000006</v>
      </c>
      <c r="L207" s="4">
        <v>8.9</v>
      </c>
      <c r="M207" s="4">
        <v>8.73</v>
      </c>
      <c r="N207" s="4">
        <v>8.3000000000000007</v>
      </c>
      <c r="O207" s="4">
        <v>8.11</v>
      </c>
      <c r="P207" s="4">
        <v>8.09</v>
      </c>
      <c r="Q207" s="4">
        <v>8.17</v>
      </c>
      <c r="R207" s="4">
        <v>7.99</v>
      </c>
      <c r="S207" s="4">
        <v>7.65</v>
      </c>
      <c r="T207" s="4">
        <v>7.69</v>
      </c>
      <c r="U207" s="4">
        <v>7.53</v>
      </c>
      <c r="V207" s="4">
        <v>7.58</v>
      </c>
      <c r="W207" s="4">
        <v>7.6</v>
      </c>
      <c r="X207" s="4">
        <v>7.47</v>
      </c>
      <c r="Y207" s="4">
        <v>7.33</v>
      </c>
      <c r="Z207" s="4">
        <v>7.58</v>
      </c>
      <c r="AA207" s="4">
        <v>7.25</v>
      </c>
      <c r="AB207" s="4">
        <v>7.2</v>
      </c>
      <c r="AC207" s="4">
        <v>6.88</v>
      </c>
      <c r="AD207" s="4">
        <v>7.15</v>
      </c>
      <c r="AE207" s="4">
        <v>7.09</v>
      </c>
      <c r="AF207" s="4">
        <v>7</v>
      </c>
      <c r="AG207" s="4">
        <v>6.98</v>
      </c>
      <c r="AH207" s="4">
        <v>6.96</v>
      </c>
      <c r="AI207" s="4">
        <v>6.77</v>
      </c>
      <c r="AJ207" s="4">
        <v>6.46</v>
      </c>
      <c r="AK207" s="4">
        <v>6.93</v>
      </c>
      <c r="AL207" s="4">
        <v>6.96</v>
      </c>
      <c r="AM207" s="4">
        <v>7.11</v>
      </c>
      <c r="AN207" s="4">
        <v>7.3</v>
      </c>
      <c r="AO207" s="4">
        <v>7.05</v>
      </c>
      <c r="AP207" s="4">
        <v>7.16</v>
      </c>
      <c r="AQ207" s="4">
        <v>7.21</v>
      </c>
      <c r="AR207" s="4">
        <v>7.27</v>
      </c>
      <c r="AS207" s="4">
        <v>7.69</v>
      </c>
      <c r="AT207" s="4">
        <v>7.35</v>
      </c>
      <c r="AU207" s="4">
        <v>7.23</v>
      </c>
      <c r="AV207" s="4">
        <v>7.17</v>
      </c>
      <c r="AW207" s="4">
        <v>7.33</v>
      </c>
      <c r="AX207" s="4">
        <v>7.2</v>
      </c>
      <c r="AY207" s="12">
        <v>7.17</v>
      </c>
      <c r="AZ207" s="12">
        <v>7.48</v>
      </c>
      <c r="BA207" s="12">
        <v>8.0299999999999994</v>
      </c>
      <c r="BB207" s="15">
        <v>8.0500000000000007</v>
      </c>
      <c r="BC207" s="52">
        <v>8.1</v>
      </c>
      <c r="BD207" s="52">
        <v>7.63</v>
      </c>
      <c r="BE207" s="52">
        <v>7.47</v>
      </c>
      <c r="BF207" s="52">
        <v>7.64</v>
      </c>
      <c r="BG207" s="67">
        <v>7.56</v>
      </c>
      <c r="BH207" s="52">
        <v>7.44</v>
      </c>
      <c r="BI207" s="52">
        <v>7.33</v>
      </c>
      <c r="BJ207" s="52">
        <v>7.58</v>
      </c>
      <c r="BK207" s="52">
        <v>7.3</v>
      </c>
      <c r="BL207" s="52" cm="1">
        <f t="array" aca="1" ref="BL207" ca="1">_FV(EC207,"Preço")</f>
        <v>7.3</v>
      </c>
      <c r="BM207" s="69" t="s">
        <v>203</v>
      </c>
      <c r="BN207" s="36" cm="1">
        <f t="array" aca="1" ref="BN207" ca="1">_FV(EC207,"Média de volume",TRUE)</f>
        <v>702980</v>
      </c>
      <c r="BO207" s="36">
        <v>396800</v>
      </c>
      <c r="BP207" s="36" cm="1">
        <f t="array" aca="1" ref="BP207" ca="1">_FV(EC207,"Volume")</f>
        <v>396800</v>
      </c>
      <c r="BQ207" s="24" cm="1">
        <f t="array" aca="1" ref="BQ207" ca="1">_FV(EC207,"Beta")</f>
        <v>0.59379999999999999</v>
      </c>
      <c r="BR207" s="71" cm="1">
        <f t="array" aca="1" ref="BR207" ca="1">_FV(EC207,"Variação (%)",TRUE)</f>
        <v>1.372E-3</v>
      </c>
      <c r="BT207" s="17" cm="1">
        <f t="array" aca="1" ref="BT207" ca="1">_FV(EC207,"Baixo")</f>
        <v>7.23</v>
      </c>
      <c r="BU207" s="17" cm="1">
        <f t="array" aca="1" ref="BU207" ca="1">_FV(EC207,"Alto")</f>
        <v>7.31</v>
      </c>
      <c r="BV207" s="24"/>
      <c r="BW207" s="63">
        <f ca="1">SQRT(22.5*(BL207/VLOOKUP(BM207,Fundamentus!A:U,3,FALSE))*(BL207/VLOOKUP(BM207,Fundamentus!A:U,4,FALSE)))</f>
        <v>12.910438004773074</v>
      </c>
      <c r="BY207" s="62">
        <f t="shared" ca="1" si="241"/>
        <v>0</v>
      </c>
      <c r="BZ207" s="8"/>
      <c r="CA207" s="61">
        <f t="shared" si="242"/>
        <v>6.46</v>
      </c>
      <c r="CB207" s="61">
        <f t="shared" si="243"/>
        <v>9.09</v>
      </c>
      <c r="CC207" s="61">
        <f t="shared" si="244"/>
        <v>7.6755555555555564</v>
      </c>
      <c r="CD207" s="14"/>
      <c r="CE207" s="35">
        <f t="shared" si="227"/>
        <v>7.1479401111718817</v>
      </c>
      <c r="CF207" s="15">
        <f t="shared" si="245"/>
        <v>7.4039999999999964</v>
      </c>
      <c r="CG207" s="35">
        <f t="shared" si="228"/>
        <v>7.6600598888281111</v>
      </c>
      <c r="CI207" s="14"/>
      <c r="CJ207" s="17">
        <f t="shared" si="229"/>
        <v>3.700000000000002</v>
      </c>
      <c r="CK207" s="17">
        <f t="shared" si="230"/>
        <v>5.080000000000001</v>
      </c>
      <c r="CL207" s="17">
        <f t="shared" si="231"/>
        <v>6.3300000000000018</v>
      </c>
      <c r="CM207" s="38">
        <f t="shared" si="246"/>
        <v>7.7100000000000009</v>
      </c>
      <c r="CN207" s="17">
        <f t="shared" si="232"/>
        <v>8.9600000000000009</v>
      </c>
      <c r="CO207" s="17">
        <f t="shared" si="233"/>
        <v>10.34</v>
      </c>
      <c r="CP207" s="17">
        <f t="shared" si="234"/>
        <v>11.590000000000002</v>
      </c>
      <c r="CQ207" s="2" cm="1">
        <f t="array" aca="1" ref="CQ207" ca="1">MAX(_xlfn._xlws.FILTER(CJ207:CP207,CJ207:CP207&lt;BL207))</f>
        <v>6.3300000000000018</v>
      </c>
      <c r="CR207" s="2" cm="1">
        <f t="array" aca="1" ref="CR207" ca="1">MIN(_xlfn._xlws.FILTER($CJ207:$CP207,$CJ207:$CP207&gt;BL207))</f>
        <v>7.7100000000000009</v>
      </c>
      <c r="CS207" s="16">
        <f t="shared" ca="1" si="248"/>
        <v>0.21800947867298559</v>
      </c>
      <c r="CT207" s="20">
        <f t="shared" ca="1" si="249"/>
        <v>-0.1090047393364928</v>
      </c>
      <c r="CU207" s="20">
        <f t="shared" ca="1" si="250"/>
        <v>-7.2669826224328535E-2</v>
      </c>
      <c r="CV207" s="20">
        <f t="shared" ca="1" si="251"/>
        <v>-4.3601895734597121E-2</v>
      </c>
      <c r="CW207" s="20">
        <f t="shared" ca="1" si="252"/>
        <v>-2.422327540810951E-2</v>
      </c>
      <c r="CX207" s="20">
        <f t="shared" ca="1" si="253"/>
        <v>-1.2824086980763857E-2</v>
      </c>
      <c r="CY207" s="20">
        <f t="shared" ca="1" si="254"/>
        <v>-6.6063478385753206E-3</v>
      </c>
      <c r="CZ207" s="20">
        <f t="shared" ca="1" si="255"/>
        <v>-3.3539919795843938E-3</v>
      </c>
      <c r="DA207" s="21">
        <f t="shared" ca="1" si="256"/>
        <v>3.3539919795843938E-3</v>
      </c>
      <c r="DB207" s="21">
        <f t="shared" ca="1" si="257"/>
        <v>6.6063478385753206E-3</v>
      </c>
      <c r="DC207" s="21">
        <f t="shared" ca="1" si="258"/>
        <v>1.2824086980763857E-2</v>
      </c>
      <c r="DD207" s="21">
        <f t="shared" ca="1" si="259"/>
        <v>2.422327540810951E-2</v>
      </c>
      <c r="DE207" s="21">
        <f t="shared" ca="1" si="260"/>
        <v>4.3601895734597121E-2</v>
      </c>
      <c r="DF207" s="21">
        <f t="shared" ca="1" si="261"/>
        <v>7.2669826224328535E-2</v>
      </c>
      <c r="DG207" s="21">
        <f t="shared" ca="1" si="262"/>
        <v>0.1090047393364928</v>
      </c>
      <c r="DI207" s="16" cm="1">
        <f t="array" aca="1" ref="DI207" ca="1">MAX(_xlfn._xlws.FILTER(CT207:DG207,CT207:DG207&lt;BR207))</f>
        <v>-3.3539919795843938E-3</v>
      </c>
      <c r="DJ207" s="16" cm="1">
        <f t="array" aca="1" ref="DJ207" ca="1">MIN(_xlfn._xlws.FILTER(CT207:DG207,CT207:DG207&gt;BR207))</f>
        <v>3.3539919795843938E-3</v>
      </c>
      <c r="DK207" s="2" cm="1">
        <f t="array" aca="1" ref="DK207" ca="1">_FV(EC207,"Fechamento anterior",TRUE)</f>
        <v>7.29</v>
      </c>
      <c r="DL207" s="28">
        <f t="shared" ca="1" si="235"/>
        <v>0.70449394644241015</v>
      </c>
      <c r="DM207" s="15">
        <f t="shared" ca="1" si="263"/>
        <v>7.2655493984688295</v>
      </c>
      <c r="DN207" s="15">
        <f t="shared" ca="1" si="264"/>
        <v>7.3144506015311705</v>
      </c>
      <c r="DO207" s="9"/>
      <c r="DP207" s="9"/>
      <c r="DQ207" s="9"/>
      <c r="DR207" s="89">
        <v>1.0621434701398355E-2</v>
      </c>
      <c r="DS207" s="89">
        <v>6.2609644481443358E-3</v>
      </c>
      <c r="DT207" s="89">
        <v>3.2523558589909267E-3</v>
      </c>
      <c r="DU207" s="89">
        <v>6.7079839591687876E-3</v>
      </c>
      <c r="DV207" s="89">
        <f t="shared" ca="1" si="236"/>
        <v>6.7079839591687876E-3</v>
      </c>
      <c r="DW207" s="72">
        <f t="shared" ca="1" si="237"/>
        <v>-0.40615498380462317</v>
      </c>
      <c r="DX207" s="37"/>
      <c r="DY207" s="35">
        <f t="shared" si="247"/>
        <v>0.12802994441405746</v>
      </c>
      <c r="DZ207" s="56"/>
      <c r="EA207" s="56"/>
      <c r="EC207" s="2" t="e" vm="209">
        <v>#VALUE!</v>
      </c>
      <c r="EE207" s="10" cm="1">
        <f t="array" aca="1" ref="EE207" ca="1">_FV(EC207,"Ações em circulação",TRUE)</f>
        <v>239829900</v>
      </c>
      <c r="EF207" s="18">
        <f>VLOOKUP(BM207,Fundamentus!A:U,5,FALSE)</f>
        <v>1.0880000000000001</v>
      </c>
      <c r="EG207" s="2">
        <f t="shared" ca="1" si="238"/>
        <v>1609152821.6911764</v>
      </c>
      <c r="EH207" s="17">
        <v>311371070.99724263</v>
      </c>
      <c r="EI207" s="17">
        <f t="shared" ca="1" si="239"/>
        <v>311371070.99724263</v>
      </c>
      <c r="EK207" s="16">
        <f t="shared" ca="1" si="226"/>
        <v>0</v>
      </c>
      <c r="EL207" s="32" t="str">
        <f>IF(VLOOKUP(BM207,Fundamentus!A:U,3,FALSE)&lt;15,"Bom",IF(VLOOKUP(BM207,Fundamentus!A:U,3,FALSE)&gt;15,"Ruim","n/a"))</f>
        <v>Bom</v>
      </c>
      <c r="EM207" s="28" t="str">
        <f>IF(VLOOKUP(BM207,Fundamentus!A:U,4,FALSE)&lt;1,"Baixo",IF(VLOOKUP(BM207,Fundamentus!A:U,4,FALSE)&lt;1.5,"Moderado",IF(VLOOKUP(BM207,Fundamentus!A:U,4,FALSE)&gt;1.5,"Alto","n/a")))</f>
        <v>Moderado</v>
      </c>
      <c r="EN207" s="17" t="str">
        <f>IF(VLOOKUP(BM207,Fundamentus!A:U,8,FALSE)&lt;0,"Risco elevado",IF(VLOOKUP(BM207,Fundamentus!A:U,8,FALSE)&lt;1,"Saudável",IF(VLOOKUP(BM207,Fundamentus!A:U,8,FALSE)&lt;3,"Estável",IF(VLOOKUP(BM207,Fundamentus!A:U,8,FALSE)&gt;3,"Alerta","n/a"))))</f>
        <v>Estável</v>
      </c>
      <c r="EO207" s="28" t="str">
        <f t="shared" si="240"/>
        <v>Bom</v>
      </c>
      <c r="EP207" s="17" t="str">
        <f>IF(VLOOKUP(BM207,Fundamentus!A:U,12,FALSE)&lt;2,"Subvalorizada",IF(VLOOKUP(BM207,Fundamentus!A:U,12,FALSE)&lt;6,"Muita barata",IF(VLOOKUP(BM207,Fundamentus!A:U,12,FALSE)&lt;6,"Barata",IF(VLOOKUP(BM207,Fundamentus!A:U,12,FALSE)&lt;8,"Atrativa",IF(VLOOKUP(BM207,Fundamentus!A:U,12,FALSE)&gt;8,"Supervalorizada","n/a")))))</f>
        <v>Muita barata</v>
      </c>
      <c r="ER207" s="17" t="str">
        <f>IF(VLOOKUP(BM207,Fundamentus!A:U,17,FALSE)&lt;0.1,"Fraco retorno",IF(VLOOKUP(BM207,Fundamentus!A:U,17,FALSE)&gt;0.1,"Bom retorno","n/a"))</f>
        <v>Bom retorno</v>
      </c>
      <c r="ES207" s="17" t="str">
        <f>IF(VLOOKUP(BM207,Fundamentus!A:U,16,FALSE)&lt;0.1,"Ineficiente",IF(VLOOKUP(BM207,Fundamentus!A:U,16,FALSE)&gt;0.1,"Eficiente","n/a"))</f>
        <v>Eficiente</v>
      </c>
      <c r="ET207" s="33" t="str">
        <f>IF(VLOOKUP(BM207,Fundamentus!A:U,16,FALSE)&lt;0.1,"Oper. Ineficiente",IF(VLOOKUP(BM207,Fundamentus!A:U,16,FALSE)&gt;0.1,"Oper.Eficiente","n/a"))</f>
        <v>Oper.Eficiente</v>
      </c>
      <c r="EU207" s="34">
        <f>VLOOKUP(BM207,Fundamentus!A:U,14,FALSE)</f>
        <v>0.19350000000000001</v>
      </c>
      <c r="EV207" s="17" t="str">
        <f>IF(VLOOKUP(BM207,Fundamentus!A:U,21,FALSE)&lt;0,"Negativo",IF(VLOOKUP(BM207,Fundamentus!A:U,21,FALSE)&lt;0.05,"Fraco",IF(VLOOKUP(BM207,Fundamentus!A:U,21,FALSE)&lt;0.1,"Bom",IF(VLOOKUP(BM207,Fundamentus!A:U,21,FALSE)&gt;0.1,"Muito bom","n/a"))))</f>
        <v>Bom</v>
      </c>
      <c r="EX207" s="29" t="str">
        <f>IF(VLOOKUP(BM207,Fundamentus!A:U,15,FALSE)&gt;1,"Bom",IF(VLOOKUP(BM207,Fundamentus!A:U,15,FALSE)&lt;1,"Ruim","n/a"))</f>
        <v>Bom</v>
      </c>
      <c r="EY207" s="17" t="str">
        <f>IF(VLOOKUP(BM207,Fundamentus!A:U,20,FALSE)&lt;0.5,"Baixa",IF(VLOOKUP(BM207,Fundamentus!A:U,20,FALSE)&lt;1,"Moderada",IF(VLOOKUP(BM207,Fundamentus!A:U,20,FALSE)&lt;2,"Alerta",IF(VLOOKUP(BM207,Fundamentus!A:U,20,FALSE)&gt;2,"Alta","n/a"))))</f>
        <v>Alerta</v>
      </c>
      <c r="EZ207" s="10"/>
    </row>
    <row r="208" spans="1:156" s="2" customFormat="1" ht="11.25" x14ac:dyDescent="0.2">
      <c r="A208" s="4">
        <v>4.87</v>
      </c>
      <c r="B208" s="4">
        <v>4.7699999999999996</v>
      </c>
      <c r="C208" s="4">
        <v>4.45</v>
      </c>
      <c r="D208" s="4">
        <v>3.81</v>
      </c>
      <c r="E208" s="4">
        <v>3.76</v>
      </c>
      <c r="F208" s="4">
        <v>3.55</v>
      </c>
      <c r="G208" s="4">
        <v>3.5</v>
      </c>
      <c r="H208" s="4">
        <v>3.45</v>
      </c>
      <c r="I208" s="4">
        <v>3.65</v>
      </c>
      <c r="J208" s="4">
        <v>3.75</v>
      </c>
      <c r="K208" s="4">
        <v>4.0999999999999996</v>
      </c>
      <c r="L208" s="4">
        <v>3.92</v>
      </c>
      <c r="M208" s="4">
        <v>3.71</v>
      </c>
      <c r="N208" s="4">
        <v>3.63</v>
      </c>
      <c r="O208" s="4">
        <v>4.03</v>
      </c>
      <c r="P208" s="4">
        <v>3.77</v>
      </c>
      <c r="Q208" s="4">
        <v>5.25</v>
      </c>
      <c r="R208" s="4">
        <v>4.8600000000000003</v>
      </c>
      <c r="S208" s="4">
        <v>4.8499999999999996</v>
      </c>
      <c r="T208" s="4">
        <v>4.75</v>
      </c>
      <c r="U208" s="4">
        <v>4.5999999999999996</v>
      </c>
      <c r="V208" s="4">
        <v>4.91</v>
      </c>
      <c r="W208" s="4">
        <v>4.9400000000000004</v>
      </c>
      <c r="X208" s="4">
        <v>4.88</v>
      </c>
      <c r="Y208" s="4">
        <v>4.83</v>
      </c>
      <c r="Z208" s="4">
        <v>4.8600000000000003</v>
      </c>
      <c r="AA208" s="4">
        <v>4.99</v>
      </c>
      <c r="AB208" s="4">
        <v>4.88</v>
      </c>
      <c r="AC208" s="4">
        <v>4.3</v>
      </c>
      <c r="AD208" s="4">
        <v>4.3</v>
      </c>
      <c r="AE208" s="4">
        <v>4.3</v>
      </c>
      <c r="AF208" s="4">
        <v>3.99</v>
      </c>
      <c r="AG208" s="4">
        <v>3.9</v>
      </c>
      <c r="AH208" s="4">
        <v>3.92</v>
      </c>
      <c r="AI208" s="4">
        <v>4.1500000000000004</v>
      </c>
      <c r="AJ208" s="4">
        <v>4.0199999999999996</v>
      </c>
      <c r="AK208" s="4">
        <v>4.0599999999999996</v>
      </c>
      <c r="AL208" s="4">
        <v>4.47</v>
      </c>
      <c r="AM208" s="4">
        <v>4.7</v>
      </c>
      <c r="AN208" s="4">
        <v>4.6900000000000004</v>
      </c>
      <c r="AO208" s="4">
        <v>4.49</v>
      </c>
      <c r="AP208" s="4">
        <v>4.3899999999999997</v>
      </c>
      <c r="AQ208" s="4">
        <v>4.24</v>
      </c>
      <c r="AR208" s="4">
        <v>4</v>
      </c>
      <c r="AS208" s="4">
        <v>4.25</v>
      </c>
      <c r="AT208" s="4">
        <v>4.6399999999999997</v>
      </c>
      <c r="AU208" s="4">
        <v>4.3650000000000002</v>
      </c>
      <c r="AV208" s="4">
        <v>4.09</v>
      </c>
      <c r="AW208" s="4">
        <v>4.04</v>
      </c>
      <c r="AX208" s="4">
        <v>4.0199999999999996</v>
      </c>
      <c r="AY208" s="12">
        <v>4.05</v>
      </c>
      <c r="AZ208" s="12">
        <v>4.53</v>
      </c>
      <c r="BA208" s="12">
        <v>4.6500000000000004</v>
      </c>
      <c r="BB208" s="15">
        <v>4.43</v>
      </c>
      <c r="BC208" s="52">
        <v>4.18</v>
      </c>
      <c r="BD208" s="52">
        <v>4.4800000000000004</v>
      </c>
      <c r="BE208" s="52">
        <v>4.32</v>
      </c>
      <c r="BF208" s="52">
        <v>4.2</v>
      </c>
      <c r="BG208" s="67">
        <v>4.16</v>
      </c>
      <c r="BH208" s="52">
        <v>4.0199999999999996</v>
      </c>
      <c r="BI208" s="52">
        <v>3.97</v>
      </c>
      <c r="BJ208" s="52">
        <v>3.86</v>
      </c>
      <c r="BK208" s="52">
        <v>3.65</v>
      </c>
      <c r="BL208" s="52" cm="1">
        <f t="array" aca="1" ref="BL208" ca="1">_FV(EC208,"Preço")</f>
        <v>3.65</v>
      </c>
      <c r="BM208" s="69" t="s">
        <v>204</v>
      </c>
      <c r="BN208" s="36" cm="1">
        <f t="array" aca="1" ref="BN208" ca="1">_FV(EC208,"Média de volume",TRUE)</f>
        <v>4882360</v>
      </c>
      <c r="BO208" s="36">
        <v>2675900</v>
      </c>
      <c r="BP208" s="36" cm="1">
        <f t="array" aca="1" ref="BP208" ca="1">_FV(EC208,"Volume")</f>
        <v>2675900</v>
      </c>
      <c r="BQ208" s="24" cm="1">
        <f t="array" aca="1" ref="BQ208" ca="1">_FV(EC208,"Beta")</f>
        <v>1.1952</v>
      </c>
      <c r="BR208" s="71" cm="1">
        <f t="array" aca="1" ref="BR208" ca="1">_FV(EC208,"Variação (%)",TRUE)</f>
        <v>-1.8817E-2</v>
      </c>
      <c r="BT208" s="17" cm="1">
        <f t="array" aca="1" ref="BT208" ca="1">_FV(EC208,"Baixo")</f>
        <v>3.63</v>
      </c>
      <c r="BU208" s="17" cm="1">
        <f t="array" aca="1" ref="BU208" ca="1">_FV(EC208,"Alto")</f>
        <v>3.74</v>
      </c>
      <c r="BV208" s="24"/>
      <c r="BW208" s="63" t="e">
        <f ca="1">SQRT(22.5*(BL208/VLOOKUP(BM208,Fundamentus!A:U,3,FALSE))*(BL208/VLOOKUP(BM208,Fundamentus!A:U,4,FALSE)))</f>
        <v>#NUM!</v>
      </c>
      <c r="BY208" s="62">
        <f t="shared" ca="1" si="241"/>
        <v>0</v>
      </c>
      <c r="BZ208" s="8"/>
      <c r="CA208" s="61">
        <f t="shared" si="242"/>
        <v>3.45</v>
      </c>
      <c r="CB208" s="61">
        <f t="shared" si="243"/>
        <v>5.25</v>
      </c>
      <c r="CC208" s="61">
        <f t="shared" si="244"/>
        <v>4.2721428571428568</v>
      </c>
      <c r="CD208" s="14"/>
      <c r="CE208" s="35">
        <f t="shared" si="227"/>
        <v>3.4436548156712474</v>
      </c>
      <c r="CF208" s="15">
        <f t="shared" si="245"/>
        <v>3.8140000000000782</v>
      </c>
      <c r="CG208" s="35">
        <f t="shared" si="228"/>
        <v>4.184345184328909</v>
      </c>
      <c r="CI208" s="14"/>
      <c r="CJ208" s="17">
        <f t="shared" si="229"/>
        <v>1.3233333333333333</v>
      </c>
      <c r="CK208" s="17">
        <f t="shared" si="230"/>
        <v>2.3866666666666667</v>
      </c>
      <c r="CL208" s="17">
        <f t="shared" si="231"/>
        <v>3.1233333333333331</v>
      </c>
      <c r="CM208" s="38">
        <f t="shared" si="246"/>
        <v>4.1866666666666665</v>
      </c>
      <c r="CN208" s="17">
        <f t="shared" si="232"/>
        <v>4.9233333333333329</v>
      </c>
      <c r="CO208" s="17">
        <f t="shared" si="233"/>
        <v>5.9866666666666664</v>
      </c>
      <c r="CP208" s="17">
        <f t="shared" si="234"/>
        <v>6.7233333333333327</v>
      </c>
      <c r="CQ208" s="2" cm="1">
        <f t="array" aca="1" ref="CQ208" ca="1">MAX(_xlfn._xlws.FILTER(CJ208:CP208,CJ208:CP208&lt;BL208))</f>
        <v>3.1233333333333331</v>
      </c>
      <c r="CR208" s="2" cm="1">
        <f t="array" aca="1" ref="CR208" ca="1">MIN(_xlfn._xlws.FILTER($CJ208:$CP208,$CJ208:$CP208&gt;BL208))</f>
        <v>4.1866666666666665</v>
      </c>
      <c r="CS208" s="16">
        <f t="shared" ca="1" si="248"/>
        <v>0.34044823906083255</v>
      </c>
      <c r="CT208" s="20">
        <f t="shared" ca="1" si="249"/>
        <v>-0.17022411953041627</v>
      </c>
      <c r="CU208" s="20">
        <f t="shared" ca="1" si="250"/>
        <v>-0.11348274635361084</v>
      </c>
      <c r="CV208" s="20">
        <f t="shared" ca="1" si="251"/>
        <v>-6.8089647812166504E-2</v>
      </c>
      <c r="CW208" s="20">
        <f t="shared" ca="1" si="252"/>
        <v>-3.7827582117870281E-2</v>
      </c>
      <c r="CX208" s="20">
        <f t="shared" ca="1" si="253"/>
        <v>-2.0026367003578384E-2</v>
      </c>
      <c r="CY208" s="20">
        <f t="shared" ca="1" si="254"/>
        <v>-1.0316613304873714E-2</v>
      </c>
      <c r="CZ208" s="20">
        <f t="shared" ca="1" si="255"/>
        <v>-5.2376652163205004E-3</v>
      </c>
      <c r="DA208" s="21">
        <f t="shared" ca="1" si="256"/>
        <v>5.2376652163205004E-3</v>
      </c>
      <c r="DB208" s="21">
        <f t="shared" ca="1" si="257"/>
        <v>1.0316613304873714E-2</v>
      </c>
      <c r="DC208" s="21">
        <f t="shared" ca="1" si="258"/>
        <v>2.0026367003578384E-2</v>
      </c>
      <c r="DD208" s="21">
        <f t="shared" ca="1" si="259"/>
        <v>3.7827582117870281E-2</v>
      </c>
      <c r="DE208" s="21">
        <f t="shared" ca="1" si="260"/>
        <v>6.8089647812166504E-2</v>
      </c>
      <c r="DF208" s="21">
        <f t="shared" ca="1" si="261"/>
        <v>0.11348274635361084</v>
      </c>
      <c r="DG208" s="21">
        <f t="shared" ca="1" si="262"/>
        <v>0.17022411953041627</v>
      </c>
      <c r="DI208" s="16" cm="1">
        <f t="array" aca="1" ref="DI208" ca="1">MAX(_xlfn._xlws.FILTER(CT208:DG208,CT208:DG208&lt;BR208))</f>
        <v>-2.0026367003578384E-2</v>
      </c>
      <c r="DJ208" s="16" cm="1">
        <f t="array" aca="1" ref="DJ208" ca="1">MIN(_xlfn._xlws.FILTER(CT208:DG208,CT208:DG208&gt;BR208))</f>
        <v>-1.0316613304873714E-2</v>
      </c>
      <c r="DK208" s="2" cm="1">
        <f t="array" aca="1" ref="DK208" ca="1">_FV(EC208,"Fechamento anterior",TRUE)</f>
        <v>3.72</v>
      </c>
      <c r="DL208" s="28">
        <f t="shared" ca="1" si="235"/>
        <v>0.12453072858731472</v>
      </c>
      <c r="DM208" s="15">
        <f t="shared" ca="1" si="263"/>
        <v>3.6455019147466885</v>
      </c>
      <c r="DN208" s="15">
        <f t="shared" ca="1" si="264"/>
        <v>3.6816221985058699</v>
      </c>
      <c r="DO208" s="9"/>
      <c r="DP208" s="9"/>
      <c r="DQ208" s="9"/>
      <c r="DR208" s="89">
        <v>2.8553243654209394E-3</v>
      </c>
      <c r="DS208" s="89">
        <v>8.9190648869686036E-3</v>
      </c>
      <c r="DT208" s="89">
        <v>1.0475330432641001E-2</v>
      </c>
      <c r="DU208" s="89">
        <v>9.7097536987046703E-3</v>
      </c>
      <c r="DV208" s="89">
        <f t="shared" ca="1" si="236"/>
        <v>9.7097536987046703E-3</v>
      </c>
      <c r="DW208" s="72">
        <f t="shared" ca="1" si="237"/>
        <v>-0.44283011347182022</v>
      </c>
      <c r="DX208" s="37"/>
      <c r="DY208" s="35">
        <f t="shared" si="247"/>
        <v>0.18517259216441539</v>
      </c>
      <c r="DZ208" s="56"/>
      <c r="EA208" s="56"/>
      <c r="EC208" s="2" t="e" vm="210">
        <v>#VALUE!</v>
      </c>
      <c r="EE208" s="10" cm="1">
        <f t="array" aca="1" ref="EE208" ca="1">_FV(EC208,"Ações em circulação",TRUE)</f>
        <v>462739900</v>
      </c>
      <c r="EF208" s="18">
        <f>VLOOKUP(BM208,Fundamentus!A:U,5,FALSE)</f>
        <v>0.56899999999999995</v>
      </c>
      <c r="EG208" s="2">
        <f t="shared" ca="1" si="238"/>
        <v>2968366669.5957823</v>
      </c>
      <c r="EH208" s="17">
        <v>-35620400.035149388</v>
      </c>
      <c r="EI208" s="17">
        <f t="shared" ca="1" si="239"/>
        <v>-35620400.035149388</v>
      </c>
      <c r="EK208" s="16">
        <f t="shared" ca="1" si="226"/>
        <v>0</v>
      </c>
      <c r="EL208" s="32" t="str">
        <f>IF(VLOOKUP(BM208,Fundamentus!A:U,3,FALSE)&lt;15,"Bom",IF(VLOOKUP(BM208,Fundamentus!A:U,3,FALSE)&gt;15,"Ruim","n/a"))</f>
        <v>Bom</v>
      </c>
      <c r="EM208" s="28" t="str">
        <f>IF(VLOOKUP(BM208,Fundamentus!A:U,4,FALSE)&lt;1,"Baixo",IF(VLOOKUP(BM208,Fundamentus!A:U,4,FALSE)&lt;1.5,"Moderado",IF(VLOOKUP(BM208,Fundamentus!A:U,4,FALSE)&gt;1.5,"Alto","n/a")))</f>
        <v>Moderado</v>
      </c>
      <c r="EN208" s="17" t="str">
        <f>IF(VLOOKUP(BM208,Fundamentus!A:U,8,FALSE)&lt;0,"Risco elevado",IF(VLOOKUP(BM208,Fundamentus!A:U,8,FALSE)&lt;1,"Saudável",IF(VLOOKUP(BM208,Fundamentus!A:U,8,FALSE)&lt;3,"Estável",IF(VLOOKUP(BM208,Fundamentus!A:U,8,FALSE)&gt;3,"Alerta","n/a"))))</f>
        <v>Alerta</v>
      </c>
      <c r="EO208" s="28" t="str">
        <f t="shared" si="240"/>
        <v>Ruim</v>
      </c>
      <c r="EP208" s="17" t="str">
        <f>IF(VLOOKUP(BM208,Fundamentus!A:U,12,FALSE)&lt;2,"Subvalorizada",IF(VLOOKUP(BM208,Fundamentus!A:U,12,FALSE)&lt;6,"Muita barata",IF(VLOOKUP(BM208,Fundamentus!A:U,12,FALSE)&lt;6,"Barata",IF(VLOOKUP(BM208,Fundamentus!A:U,12,FALSE)&lt;8,"Atrativa",IF(VLOOKUP(BM208,Fundamentus!A:U,12,FALSE)&gt;8,"Supervalorizada","n/a")))))</f>
        <v>Muita barata</v>
      </c>
      <c r="ER208" s="17" t="str">
        <f>IF(VLOOKUP(BM208,Fundamentus!A:U,17,FALSE)&lt;0.1,"Fraco retorno",IF(VLOOKUP(BM208,Fundamentus!A:U,17,FALSE)&gt;0.1,"Bom retorno","n/a"))</f>
        <v>Fraco retorno</v>
      </c>
      <c r="ES208" s="17" t="str">
        <f>IF(VLOOKUP(BM208,Fundamentus!A:U,16,FALSE)&lt;0.1,"Ineficiente",IF(VLOOKUP(BM208,Fundamentus!A:U,16,FALSE)&gt;0.1,"Eficiente","n/a"))</f>
        <v>Ineficiente</v>
      </c>
      <c r="ET208" s="33" t="str">
        <f>IF(VLOOKUP(BM208,Fundamentus!A:U,16,FALSE)&lt;0.1,"Oper. Ineficiente",IF(VLOOKUP(BM208,Fundamentus!A:U,16,FALSE)&gt;0.1,"Oper.Eficiente","n/a"))</f>
        <v>Oper. Ineficiente</v>
      </c>
      <c r="EU208" s="34">
        <f>VLOOKUP(BM208,Fundamentus!A:U,14,FALSE)</f>
        <v>-1.2E-2</v>
      </c>
      <c r="EV208" s="17" t="str">
        <f>IF(VLOOKUP(BM208,Fundamentus!A:U,21,FALSE)&lt;0,"Negativo",IF(VLOOKUP(BM208,Fundamentus!A:U,21,FALSE)&lt;0.05,"Fraco",IF(VLOOKUP(BM208,Fundamentus!A:U,21,FALSE)&lt;0.1,"Bom",IF(VLOOKUP(BM208,Fundamentus!A:U,21,FALSE)&gt;0.1,"Muito bom","n/a"))))</f>
        <v>Muito bom</v>
      </c>
      <c r="EX208" s="29" t="str">
        <f>IF(VLOOKUP(BM208,Fundamentus!A:U,15,FALSE)&gt;1,"Bom",IF(VLOOKUP(BM208,Fundamentus!A:U,15,FALSE)&lt;1,"Ruim","n/a"))</f>
        <v>Bom</v>
      </c>
      <c r="EY208" s="17" t="str">
        <f>IF(VLOOKUP(BM208,Fundamentus!A:U,20,FALSE)&lt;0.5,"Baixa",IF(VLOOKUP(BM208,Fundamentus!A:U,20,FALSE)&lt;1,"Moderada",IF(VLOOKUP(BM208,Fundamentus!A:U,20,FALSE)&lt;2,"Alerta",IF(VLOOKUP(BM208,Fundamentus!A:U,20,FALSE)&gt;2,"Alta","n/a"))))</f>
        <v>Baixa</v>
      </c>
      <c r="EZ208" s="10"/>
    </row>
    <row r="209" spans="1:156" s="2" customFormat="1" ht="11.25" x14ac:dyDescent="0.2">
      <c r="A209" s="4">
        <v>28.18</v>
      </c>
      <c r="B209" s="4">
        <v>28.52</v>
      </c>
      <c r="C209" s="4">
        <v>28.71</v>
      </c>
      <c r="D209" s="4">
        <v>29</v>
      </c>
      <c r="E209" s="4">
        <v>28.56</v>
      </c>
      <c r="F209" s="4">
        <v>28.5</v>
      </c>
      <c r="G209" s="4">
        <v>30.59</v>
      </c>
      <c r="H209" s="4">
        <v>29.83</v>
      </c>
      <c r="I209" s="4">
        <v>30.25</v>
      </c>
      <c r="J209" s="4">
        <v>29.5</v>
      </c>
      <c r="K209" s="4">
        <v>29.28</v>
      </c>
      <c r="L209" s="4">
        <v>28.06</v>
      </c>
      <c r="M209" s="4">
        <v>28.13</v>
      </c>
      <c r="N209" s="4">
        <v>27.62</v>
      </c>
      <c r="O209" s="4">
        <v>29.62</v>
      </c>
      <c r="P209" s="4">
        <v>29.54</v>
      </c>
      <c r="Q209" s="4">
        <v>31.46</v>
      </c>
      <c r="R209" s="4">
        <v>29.97</v>
      </c>
      <c r="S209" s="4">
        <v>29.36</v>
      </c>
      <c r="T209" s="4">
        <v>30.18</v>
      </c>
      <c r="U209" s="4">
        <v>28.95</v>
      </c>
      <c r="V209" s="4">
        <v>28.28</v>
      </c>
      <c r="W209" s="4">
        <v>27.99</v>
      </c>
      <c r="X209" s="4">
        <v>28</v>
      </c>
      <c r="Y209" s="4">
        <v>28.72</v>
      </c>
      <c r="Z209" s="4">
        <v>28.87</v>
      </c>
      <c r="AA209" s="4">
        <v>30.95</v>
      </c>
      <c r="AB209" s="4">
        <v>30.86</v>
      </c>
      <c r="AC209" s="4">
        <v>30</v>
      </c>
      <c r="AD209" s="4">
        <v>29.82</v>
      </c>
      <c r="AE209" s="4">
        <v>27.46</v>
      </c>
      <c r="AF209" s="4">
        <v>27.35</v>
      </c>
      <c r="AG209" s="4">
        <v>29.17</v>
      </c>
      <c r="AH209" s="4">
        <v>27.65</v>
      </c>
      <c r="AI209" s="4">
        <v>27.03</v>
      </c>
      <c r="AJ209" s="4">
        <v>26.14</v>
      </c>
      <c r="AK209" s="4">
        <v>26.71</v>
      </c>
      <c r="AL209" s="4">
        <v>28.2</v>
      </c>
      <c r="AM209" s="4">
        <v>29.91</v>
      </c>
      <c r="AN209" s="4">
        <v>34.06</v>
      </c>
      <c r="AO209" s="4">
        <v>33.54</v>
      </c>
      <c r="AP209" s="4">
        <v>34.4</v>
      </c>
      <c r="AQ209" s="4">
        <v>35.06</v>
      </c>
      <c r="AR209" s="4">
        <v>34.96</v>
      </c>
      <c r="AS209" s="4">
        <v>34.119999999999997</v>
      </c>
      <c r="AT209" s="4">
        <v>33.47</v>
      </c>
      <c r="AU209" s="4">
        <v>34.575000000000003</v>
      </c>
      <c r="AV209" s="4">
        <v>33.4</v>
      </c>
      <c r="AW209" s="4">
        <v>34.15</v>
      </c>
      <c r="AX209" s="4">
        <v>34.700000000000003</v>
      </c>
      <c r="AY209" s="12">
        <v>36.64</v>
      </c>
      <c r="AZ209" s="12">
        <v>37.520000000000003</v>
      </c>
      <c r="BA209" s="12">
        <v>37.619999999999997</v>
      </c>
      <c r="BB209" s="15">
        <v>38.020000000000003</v>
      </c>
      <c r="BC209" s="52">
        <v>40.67</v>
      </c>
      <c r="BD209" s="52">
        <v>42.5</v>
      </c>
      <c r="BE209" s="52">
        <v>42.21</v>
      </c>
      <c r="BF209" s="52">
        <v>40.98</v>
      </c>
      <c r="BG209" s="67">
        <v>41.04</v>
      </c>
      <c r="BH209" s="52">
        <v>40.89</v>
      </c>
      <c r="BI209" s="52">
        <v>41.52</v>
      </c>
      <c r="BJ209" s="52">
        <v>43.11</v>
      </c>
      <c r="BK209" s="52">
        <v>41.09</v>
      </c>
      <c r="BL209" s="52" cm="1">
        <f t="array" aca="1" ref="BL209" ca="1">_FV(EC209,"Preço")</f>
        <v>41.09</v>
      </c>
      <c r="BM209" s="69" t="s">
        <v>32</v>
      </c>
      <c r="BN209" s="36" cm="1">
        <f t="array" aca="1" ref="BN209" ca="1">_FV(EC209,"Média de volume",TRUE)</f>
        <v>2347600</v>
      </c>
      <c r="BO209" s="36">
        <v>2369800</v>
      </c>
      <c r="BP209" s="36" cm="1">
        <f t="array" aca="1" ref="BP209" ca="1">_FV(EC209,"Volume")</f>
        <v>2369800</v>
      </c>
      <c r="BQ209" s="24" cm="1">
        <f t="array" aca="1" ref="BQ209" ca="1">_FV(EC209,"Beta")</f>
        <v>0.96099999999999997</v>
      </c>
      <c r="BR209" s="71" cm="1">
        <f t="array" aca="1" ref="BR209" ca="1">_FV(EC209,"Variação (%)",TRUE)</f>
        <v>-1.226E-2</v>
      </c>
      <c r="BT209" s="17" cm="1">
        <f t="array" aca="1" ref="BT209" ca="1">_FV(EC209,"Baixo")</f>
        <v>40.99</v>
      </c>
      <c r="BU209" s="17" cm="1">
        <f t="array" aca="1" ref="BU209" ca="1">_FV(EC209,"Alto")</f>
        <v>41.77</v>
      </c>
      <c r="BV209" s="24"/>
      <c r="BW209" s="63">
        <f ca="1">SQRT(22.5*(BL209/VLOOKUP(BM209,Fundamentus!A:U,3,FALSE))*(BL209/VLOOKUP(BM209,Fundamentus!A:U,4,FALSE)))</f>
        <v>15.37651233869957</v>
      </c>
      <c r="BY209" s="62">
        <f t="shared" ca="1" si="241"/>
        <v>0</v>
      </c>
      <c r="BZ209" s="8"/>
      <c r="CA209" s="61">
        <f t="shared" si="242"/>
        <v>26.14</v>
      </c>
      <c r="CB209" s="61">
        <f t="shared" si="243"/>
        <v>43.11</v>
      </c>
      <c r="CC209" s="61">
        <f t="shared" si="244"/>
        <v>32.177222222222227</v>
      </c>
      <c r="CD209" s="14"/>
      <c r="CE209" s="35">
        <f t="shared" si="227"/>
        <v>40.214554075617158</v>
      </c>
      <c r="CF209" s="15">
        <f t="shared" si="245"/>
        <v>41.761999999999944</v>
      </c>
      <c r="CG209" s="35">
        <f t="shared" si="228"/>
        <v>43.309445924382729</v>
      </c>
      <c r="CI209" s="14"/>
      <c r="CJ209" s="17">
        <f t="shared" si="229"/>
        <v>14.826666666666668</v>
      </c>
      <c r="CK209" s="17">
        <f t="shared" si="230"/>
        <v>20.483333333333334</v>
      </c>
      <c r="CL209" s="17">
        <f t="shared" si="231"/>
        <v>31.796666666666667</v>
      </c>
      <c r="CM209" s="38">
        <f t="shared" si="246"/>
        <v>37.453333333333333</v>
      </c>
      <c r="CN209" s="17">
        <f t="shared" si="232"/>
        <v>48.766666666666666</v>
      </c>
      <c r="CO209" s="17">
        <f t="shared" si="233"/>
        <v>54.423333333333332</v>
      </c>
      <c r="CP209" s="17">
        <f t="shared" si="234"/>
        <v>65.736666666666665</v>
      </c>
      <c r="CQ209" s="2" cm="1">
        <f t="array" aca="1" ref="CQ209" ca="1">MAX(_xlfn._xlws.FILTER(CJ209:CP209,CJ209:CP209&lt;BL209))</f>
        <v>37.453333333333333</v>
      </c>
      <c r="CR209" s="2" cm="1">
        <f t="array" aca="1" ref="CR209" ca="1">MIN(_xlfn._xlws.FILTER($CJ209:$CP209,$CJ209:$CP209&gt;BL209))</f>
        <v>48.766666666666666</v>
      </c>
      <c r="CS209" s="16">
        <f t="shared" ca="1" si="248"/>
        <v>0.30206479174083301</v>
      </c>
      <c r="CT209" s="20">
        <f t="shared" ca="1" si="249"/>
        <v>-0.1510323958704165</v>
      </c>
      <c r="CU209" s="20">
        <f t="shared" ca="1" si="250"/>
        <v>-0.10068826391361101</v>
      </c>
      <c r="CV209" s="20">
        <f t="shared" ca="1" si="251"/>
        <v>-6.0412958348166602E-2</v>
      </c>
      <c r="CW209" s="20">
        <f t="shared" ca="1" si="252"/>
        <v>-3.3562754637870333E-2</v>
      </c>
      <c r="CX209" s="20">
        <f t="shared" ca="1" si="253"/>
        <v>-1.7768517161225472E-2</v>
      </c>
      <c r="CY209" s="20">
        <f t="shared" ca="1" si="254"/>
        <v>-9.1534785376009998E-3</v>
      </c>
      <c r="CZ209" s="20">
        <f t="shared" ca="1" si="255"/>
        <v>-4.6471506421666619E-3</v>
      </c>
      <c r="DA209" s="21">
        <f t="shared" ca="1" si="256"/>
        <v>4.6471506421666619E-3</v>
      </c>
      <c r="DB209" s="21">
        <f t="shared" ca="1" si="257"/>
        <v>9.1534785376009998E-3</v>
      </c>
      <c r="DC209" s="21">
        <f t="shared" ca="1" si="258"/>
        <v>1.7768517161225472E-2</v>
      </c>
      <c r="DD209" s="21">
        <f t="shared" ca="1" si="259"/>
        <v>3.3562754637870333E-2</v>
      </c>
      <c r="DE209" s="21">
        <f t="shared" ca="1" si="260"/>
        <v>6.0412958348166602E-2</v>
      </c>
      <c r="DF209" s="21">
        <f t="shared" ca="1" si="261"/>
        <v>0.10068826391361101</v>
      </c>
      <c r="DG209" s="21">
        <f t="shared" ca="1" si="262"/>
        <v>0.1510323958704165</v>
      </c>
      <c r="DI209" s="16" cm="1">
        <f t="array" aca="1" ref="DI209" ca="1">MAX(_xlfn._xlws.FILTER(CT209:DG209,CT209:DG209&lt;BR209))</f>
        <v>-1.7768517161225472E-2</v>
      </c>
      <c r="DJ209" s="16" cm="1">
        <f t="array" aca="1" ref="DJ209" ca="1">MIN(_xlfn._xlws.FILTER(CT209:DG209,CT209:DG209&gt;BR209))</f>
        <v>-9.1534785376009998E-3</v>
      </c>
      <c r="DK209" s="2" cm="1">
        <f t="array" aca="1" ref="DK209" ca="1">_FV(EC209,"Fechamento anterior",TRUE)</f>
        <v>41.6</v>
      </c>
      <c r="DL209" s="28">
        <f t="shared" ca="1" si="235"/>
        <v>0.63945177929945263</v>
      </c>
      <c r="DM209" s="15">
        <f t="shared" ca="1" si="263"/>
        <v>40.86082968609302</v>
      </c>
      <c r="DN209" s="15">
        <f t="shared" ca="1" si="264"/>
        <v>41.219215292835798</v>
      </c>
      <c r="DO209" s="9"/>
      <c r="DP209" s="9"/>
      <c r="DQ209" s="9"/>
      <c r="DR209" s="89">
        <v>3.9723743247437049E-3</v>
      </c>
      <c r="DS209" s="89">
        <v>4.2519114729180395E-3</v>
      </c>
      <c r="DT209" s="89">
        <v>4.5063278954343379E-3</v>
      </c>
      <c r="DU209" s="89">
        <v>8.6150386236244717E-3</v>
      </c>
      <c r="DV209" s="89">
        <f t="shared" ca="1" si="236"/>
        <v>8.6150386236244717E-3</v>
      </c>
      <c r="DW209" s="72">
        <f t="shared" ca="1" si="237"/>
        <v>-0.4342639632257097</v>
      </c>
      <c r="DX209" s="37"/>
      <c r="DY209" s="35">
        <f t="shared" si="247"/>
        <v>0.77372296219139181</v>
      </c>
      <c r="DZ209" s="56"/>
      <c r="EA209" s="56"/>
      <c r="EC209" s="2" t="e" vm="211">
        <v>#VALUE!</v>
      </c>
      <c r="EE209" s="10" cm="1">
        <f t="array" aca="1" ref="EE209" ca="1">_FV(EC209,"Ações em circulação",TRUE)</f>
        <v>599401600</v>
      </c>
      <c r="EF209" s="18">
        <f>VLOOKUP(BM209,Fundamentus!A:U,5,FALSE)</f>
        <v>4.5229999999999997</v>
      </c>
      <c r="EG209" s="2">
        <f t="shared" ca="1" si="238"/>
        <v>5445370715.0121613</v>
      </c>
      <c r="EH209" s="17">
        <v>807548477.0363034</v>
      </c>
      <c r="EI209" s="17">
        <f t="shared" ca="1" si="239"/>
        <v>807548477.0363034</v>
      </c>
      <c r="EK209" s="16">
        <f t="shared" ca="1" si="226"/>
        <v>0</v>
      </c>
      <c r="EL209" s="32" t="str">
        <f>IF(VLOOKUP(BM209,Fundamentus!A:U,3,FALSE)&lt;15,"Bom",IF(VLOOKUP(BM209,Fundamentus!A:U,3,FALSE)&gt;15,"Ruim","n/a"))</f>
        <v>Ruim</v>
      </c>
      <c r="EM209" s="28" t="str">
        <f>IF(VLOOKUP(BM209,Fundamentus!A:U,4,FALSE)&lt;1,"Baixo",IF(VLOOKUP(BM209,Fundamentus!A:U,4,FALSE)&lt;1.5,"Moderado",IF(VLOOKUP(BM209,Fundamentus!A:U,4,FALSE)&gt;1.5,"Alto","n/a")))</f>
        <v>Alto</v>
      </c>
      <c r="EN209" s="17" t="str">
        <f>IF(VLOOKUP(BM209,Fundamentus!A:U,8,FALSE)&lt;0,"Risco elevado",IF(VLOOKUP(BM209,Fundamentus!A:U,8,FALSE)&lt;1,"Saudável",IF(VLOOKUP(BM209,Fundamentus!A:U,8,FALSE)&lt;3,"Estável",IF(VLOOKUP(BM209,Fundamentus!A:U,8,FALSE)&gt;3,"Alerta","n/a"))))</f>
        <v>Alerta</v>
      </c>
      <c r="EO209" s="28" t="str">
        <f t="shared" si="240"/>
        <v>Bom</v>
      </c>
      <c r="EP209" s="17" t="str">
        <f>IF(VLOOKUP(BM209,Fundamentus!A:U,12,FALSE)&lt;2,"Subvalorizada",IF(VLOOKUP(BM209,Fundamentus!A:U,12,FALSE)&lt;6,"Muita barata",IF(VLOOKUP(BM209,Fundamentus!A:U,12,FALSE)&lt;6,"Barata",IF(VLOOKUP(BM209,Fundamentus!A:U,12,FALSE)&lt;8,"Atrativa",IF(VLOOKUP(BM209,Fundamentus!A:U,12,FALSE)&gt;8,"Supervalorizada","n/a")))))</f>
        <v>Supervalorizada</v>
      </c>
      <c r="ER209" s="17" t="str">
        <f>IF(VLOOKUP(BM209,Fundamentus!A:U,17,FALSE)&lt;0.1,"Fraco retorno",IF(VLOOKUP(BM209,Fundamentus!A:U,17,FALSE)&gt;0.1,"Bom retorno","n/a"))</f>
        <v>Bom retorno</v>
      </c>
      <c r="ES209" s="17" t="str">
        <f>IF(VLOOKUP(BM209,Fundamentus!A:U,16,FALSE)&lt;0.1,"Ineficiente",IF(VLOOKUP(BM209,Fundamentus!A:U,16,FALSE)&gt;0.1,"Eficiente","n/a"))</f>
        <v>Eficiente</v>
      </c>
      <c r="ET209" s="33" t="str">
        <f>IF(VLOOKUP(BM209,Fundamentus!A:U,16,FALSE)&lt;0.1,"Oper. Ineficiente",IF(VLOOKUP(BM209,Fundamentus!A:U,16,FALSE)&gt;0.1,"Oper.Eficiente","n/a"))</f>
        <v>Oper.Eficiente</v>
      </c>
      <c r="EU209" s="34">
        <f>VLOOKUP(BM209,Fundamentus!A:U,14,FALSE)</f>
        <v>0.14829999999999999</v>
      </c>
      <c r="EV209" s="17" t="str">
        <f>IF(VLOOKUP(BM209,Fundamentus!A:U,21,FALSE)&lt;0,"Negativo",IF(VLOOKUP(BM209,Fundamentus!A:U,21,FALSE)&lt;0.05,"Fraco",IF(VLOOKUP(BM209,Fundamentus!A:U,21,FALSE)&lt;0.1,"Bom",IF(VLOOKUP(BM209,Fundamentus!A:U,21,FALSE)&gt;0.1,"Muito bom","n/a"))))</f>
        <v>Muito bom</v>
      </c>
      <c r="EX209" s="29" t="str">
        <f>IF(VLOOKUP(BM209,Fundamentus!A:U,15,FALSE)&gt;1,"Bom",IF(VLOOKUP(BM209,Fundamentus!A:U,15,FALSE)&lt;1,"Ruim","n/a"))</f>
        <v>Bom</v>
      </c>
      <c r="EY209" s="17" t="str">
        <f>IF(VLOOKUP(BM209,Fundamentus!A:U,20,FALSE)&lt;0.5,"Baixa",IF(VLOOKUP(BM209,Fundamentus!A:U,20,FALSE)&lt;1,"Moderada",IF(VLOOKUP(BM209,Fundamentus!A:U,20,FALSE)&lt;2,"Alerta",IF(VLOOKUP(BM209,Fundamentus!A:U,20,FALSE)&gt;2,"Alta","n/a"))))</f>
        <v>Baixa</v>
      </c>
      <c r="EZ209" s="10">
        <v>4</v>
      </c>
    </row>
    <row r="210" spans="1:156" s="2" customFormat="1" ht="11.25" x14ac:dyDescent="0.2">
      <c r="A210" s="4">
        <v>16.18</v>
      </c>
      <c r="B210" s="4">
        <v>16.12</v>
      </c>
      <c r="C210" s="4">
        <v>12.9</v>
      </c>
      <c r="D210" s="4">
        <v>13.63</v>
      </c>
      <c r="E210" s="4">
        <v>12.09</v>
      </c>
      <c r="F210" s="4">
        <v>11.38</v>
      </c>
      <c r="G210" s="4">
        <v>11.22</v>
      </c>
      <c r="H210" s="4">
        <v>10.84</v>
      </c>
      <c r="I210" s="4">
        <v>10.4</v>
      </c>
      <c r="J210" s="4">
        <v>11.71</v>
      </c>
      <c r="K210" s="4">
        <v>11.96</v>
      </c>
      <c r="L210" s="4">
        <v>11.3</v>
      </c>
      <c r="M210" s="4">
        <v>11</v>
      </c>
      <c r="N210" s="4">
        <v>10.75</v>
      </c>
      <c r="O210" s="4">
        <v>10.33</v>
      </c>
      <c r="P210" s="4">
        <v>9.77</v>
      </c>
      <c r="Q210" s="4">
        <v>10.31</v>
      </c>
      <c r="R210" s="4">
        <v>9.85</v>
      </c>
      <c r="S210" s="4">
        <v>9.61</v>
      </c>
      <c r="T210" s="4">
        <v>10.91</v>
      </c>
      <c r="U210" s="4">
        <v>9.93</v>
      </c>
      <c r="V210" s="4">
        <v>9.27</v>
      </c>
      <c r="W210" s="4">
        <v>10.17</v>
      </c>
      <c r="X210" s="4">
        <v>10.32</v>
      </c>
      <c r="Y210" s="4">
        <v>10.41</v>
      </c>
      <c r="Z210" s="4">
        <v>10.68</v>
      </c>
      <c r="AA210" s="4">
        <v>10.14</v>
      </c>
      <c r="AB210" s="4">
        <v>10.18</v>
      </c>
      <c r="AC210" s="4">
        <v>10.24</v>
      </c>
      <c r="AD210" s="4">
        <v>10.15</v>
      </c>
      <c r="AE210" s="4">
        <v>9.25</v>
      </c>
      <c r="AF210" s="4">
        <v>8.2899999999999991</v>
      </c>
      <c r="AG210" s="4">
        <v>8.35</v>
      </c>
      <c r="AH210" s="4">
        <v>8.41</v>
      </c>
      <c r="AI210" s="4">
        <v>8.32</v>
      </c>
      <c r="AJ210" s="4">
        <v>8.0399999999999991</v>
      </c>
      <c r="AK210" s="4">
        <v>8.9700000000000006</v>
      </c>
      <c r="AL210" s="4">
        <v>8.58</v>
      </c>
      <c r="AM210" s="4">
        <v>9.25</v>
      </c>
      <c r="AN210" s="4">
        <v>10.25</v>
      </c>
      <c r="AO210" s="4">
        <v>10.5</v>
      </c>
      <c r="AP210" s="4">
        <v>11.55</v>
      </c>
      <c r="AQ210" s="4">
        <v>11.61</v>
      </c>
      <c r="AR210" s="4">
        <v>10.4</v>
      </c>
      <c r="AS210" s="4">
        <v>11.07</v>
      </c>
      <c r="AT210" s="4">
        <v>11.4</v>
      </c>
      <c r="AU210" s="4">
        <v>11.86</v>
      </c>
      <c r="AV210" s="4">
        <v>12.16</v>
      </c>
      <c r="AW210" s="4">
        <v>12.59</v>
      </c>
      <c r="AX210" s="4">
        <v>12.95</v>
      </c>
      <c r="AY210" s="12">
        <v>14.85</v>
      </c>
      <c r="AZ210" s="12">
        <v>14.16</v>
      </c>
      <c r="BA210" s="12">
        <v>14.29</v>
      </c>
      <c r="BB210" s="15">
        <v>15.7</v>
      </c>
      <c r="BC210" s="52">
        <v>15.97</v>
      </c>
      <c r="BD210" s="52">
        <v>15.54</v>
      </c>
      <c r="BE210" s="52">
        <v>15.85</v>
      </c>
      <c r="BF210" s="52">
        <v>17.07</v>
      </c>
      <c r="BG210" s="67">
        <v>16.53</v>
      </c>
      <c r="BH210" s="52">
        <v>16.54</v>
      </c>
      <c r="BI210" s="52">
        <v>16.18</v>
      </c>
      <c r="BJ210" s="52">
        <v>16.329999999999998</v>
      </c>
      <c r="BK210" s="52">
        <v>13.88</v>
      </c>
      <c r="BL210" s="52" cm="1">
        <f t="array" aca="1" ref="BL210" ca="1">_FV(EC210,"Preço")</f>
        <v>13.88</v>
      </c>
      <c r="BM210" s="69" t="s">
        <v>206</v>
      </c>
      <c r="BN210" s="36" cm="1">
        <f t="array" aca="1" ref="BN210" ca="1">_FV(EC210,"Média de volume",TRUE)</f>
        <v>2660340</v>
      </c>
      <c r="BO210" s="36">
        <v>4897500</v>
      </c>
      <c r="BP210" s="36" cm="1">
        <f t="array" aca="1" ref="BP210" ca="1">_FV(EC210,"Volume")</f>
        <v>4897500</v>
      </c>
      <c r="BQ210" s="24" cm="1">
        <f t="array" aca="1" ref="BQ210" ca="1">_FV(EC210,"Beta")</f>
        <v>2.0617000000000001</v>
      </c>
      <c r="BR210" s="71" cm="1">
        <f t="array" aca="1" ref="BR210" ca="1">_FV(EC210,"Variação (%)",TRUE)</f>
        <v>-7.404899999999999E-2</v>
      </c>
      <c r="BT210" s="17" cm="1">
        <f t="array" aca="1" ref="BT210" ca="1">_FV(EC210,"Baixo")</f>
        <v>13.78</v>
      </c>
      <c r="BU210" s="17" cm="1">
        <f t="array" aca="1" ref="BU210" ca="1">_FV(EC210,"Alto")</f>
        <v>14.92</v>
      </c>
      <c r="BV210" s="24"/>
      <c r="BW210" s="63">
        <f ca="1">SQRT(22.5*(BL210/VLOOKUP(BM210,Fundamentus!A:U,3,FALSE))*(BL210/VLOOKUP(BM210,Fundamentus!A:U,4,FALSE)))</f>
        <v>14.469921726603786</v>
      </c>
      <c r="BY210" s="62">
        <f t="shared" ca="1" si="241"/>
        <v>0</v>
      </c>
      <c r="BZ210" s="8"/>
      <c r="CA210" s="61">
        <f t="shared" si="242"/>
        <v>8.0399999999999991</v>
      </c>
      <c r="CB210" s="61">
        <f t="shared" si="243"/>
        <v>17.07</v>
      </c>
      <c r="CC210" s="61">
        <f t="shared" si="244"/>
        <v>11.753015873015876</v>
      </c>
      <c r="CD210" s="14"/>
      <c r="CE210" s="35">
        <f t="shared" si="227"/>
        <v>13.290588117258523</v>
      </c>
      <c r="CF210" s="15">
        <f t="shared" si="245"/>
        <v>15.341000000000349</v>
      </c>
      <c r="CG210" s="35">
        <f t="shared" si="228"/>
        <v>17.391411882742176</v>
      </c>
      <c r="CI210" s="14"/>
      <c r="CJ210" s="17">
        <f t="shared" si="229"/>
        <v>1.5266666666666637</v>
      </c>
      <c r="CK210" s="17">
        <f t="shared" si="230"/>
        <v>4.7833333333333314</v>
      </c>
      <c r="CL210" s="17">
        <f t="shared" si="231"/>
        <v>10.556666666666665</v>
      </c>
      <c r="CM210" s="38">
        <f t="shared" si="246"/>
        <v>13.813333333333333</v>
      </c>
      <c r="CN210" s="17">
        <f t="shared" si="232"/>
        <v>19.586666666666666</v>
      </c>
      <c r="CO210" s="17">
        <f t="shared" si="233"/>
        <v>22.843333333333334</v>
      </c>
      <c r="CP210" s="17">
        <f t="shared" si="234"/>
        <v>28.616666666666667</v>
      </c>
      <c r="CQ210" s="2" cm="1">
        <f t="array" aca="1" ref="CQ210" ca="1">MAX(_xlfn._xlws.FILTER(CJ210:CP210,CJ210:CP210&lt;BL210))</f>
        <v>13.813333333333333</v>
      </c>
      <c r="CR210" s="2" cm="1">
        <f t="array" aca="1" ref="CR210" ca="1">MIN(_xlfn._xlws.FILTER($CJ210:$CP210,$CJ210:$CP210&gt;BL210))</f>
        <v>19.586666666666666</v>
      </c>
      <c r="CS210" s="16">
        <f t="shared" ca="1" si="248"/>
        <v>0.41795366795366795</v>
      </c>
      <c r="CT210" s="20">
        <f t="shared" ca="1" si="249"/>
        <v>-0.20897683397683398</v>
      </c>
      <c r="CU210" s="20">
        <f t="shared" ca="1" si="250"/>
        <v>-0.13931788931788933</v>
      </c>
      <c r="CV210" s="20">
        <f t="shared" ca="1" si="251"/>
        <v>-8.3590733590733587E-2</v>
      </c>
      <c r="CW210" s="20">
        <f t="shared" ca="1" si="252"/>
        <v>-4.6439296439296437E-2</v>
      </c>
      <c r="CX210" s="20">
        <f t="shared" ca="1" si="253"/>
        <v>-2.4585509879627526E-2</v>
      </c>
      <c r="CY210" s="20">
        <f t="shared" ca="1" si="254"/>
        <v>-1.2665262665262664E-2</v>
      </c>
      <c r="CZ210" s="20">
        <f t="shared" ca="1" si="255"/>
        <v>-6.4300564300564297E-3</v>
      </c>
      <c r="DA210" s="21">
        <f t="shared" ca="1" si="256"/>
        <v>6.4300564300564297E-3</v>
      </c>
      <c r="DB210" s="21">
        <f t="shared" ca="1" si="257"/>
        <v>1.2665262665262664E-2</v>
      </c>
      <c r="DC210" s="21">
        <f t="shared" ca="1" si="258"/>
        <v>2.4585509879627526E-2</v>
      </c>
      <c r="DD210" s="21">
        <f t="shared" ca="1" si="259"/>
        <v>4.6439296439296437E-2</v>
      </c>
      <c r="DE210" s="21">
        <f t="shared" ca="1" si="260"/>
        <v>8.3590733590733587E-2</v>
      </c>
      <c r="DF210" s="21">
        <f t="shared" ca="1" si="261"/>
        <v>0.13931788931788933</v>
      </c>
      <c r="DG210" s="21">
        <f t="shared" ca="1" si="262"/>
        <v>0.20897683397683398</v>
      </c>
      <c r="DI210" s="16" cm="1">
        <f t="array" aca="1" ref="DI210" ca="1">MAX(_xlfn._xlws.FILTER(CT210:DG210,CT210:DG210&lt;BR210))</f>
        <v>-8.3590733590733587E-2</v>
      </c>
      <c r="DJ210" s="16" cm="1">
        <f t="array" aca="1" ref="DJ210" ca="1">MIN(_xlfn._xlws.FILTER(CT210:DG210,CT210:DG210&gt;BR210))</f>
        <v>-4.6439296439296437E-2</v>
      </c>
      <c r="DK210" s="2" cm="1">
        <f t="array" aca="1" ref="DK210" ca="1">_FV(EC210,"Fechamento anterior",TRUE)</f>
        <v>14.99</v>
      </c>
      <c r="DL210" s="28">
        <f t="shared" ca="1" si="235"/>
        <v>0.25682364070273245</v>
      </c>
      <c r="DM210" s="15">
        <f t="shared" ca="1" si="263"/>
        <v>13.736974903474904</v>
      </c>
      <c r="DN210" s="15">
        <f t="shared" ca="1" si="264"/>
        <v>14.293874946374947</v>
      </c>
      <c r="DO210" s="9"/>
      <c r="DP210" s="9"/>
      <c r="DQ210" s="9"/>
      <c r="DR210" s="89">
        <v>1.1859941140638647E-2</v>
      </c>
      <c r="DS210" s="89">
        <v>1.1999979452089981E-2</v>
      </c>
      <c r="DT210" s="89">
        <v>1.1920247214364861E-2</v>
      </c>
      <c r="DU210" s="89">
        <v>3.715143715143715E-2</v>
      </c>
      <c r="DV210" s="89">
        <f t="shared" ca="1" si="236"/>
        <v>3.715143715143715E-2</v>
      </c>
      <c r="DW210" s="72">
        <f t="shared" ca="1" si="237"/>
        <v>-0.7125397644724375</v>
      </c>
      <c r="DX210" s="37"/>
      <c r="DY210" s="35">
        <f t="shared" si="247"/>
        <v>1.0252059413709138</v>
      </c>
      <c r="DZ210" s="56"/>
      <c r="EA210" s="56"/>
      <c r="EC210" s="2" t="e" vm="212">
        <v>#VALUE!</v>
      </c>
      <c r="EE210" s="10" cm="1">
        <f t="array" aca="1" ref="EE210" ca="1">_FV(EC210,"Ações em circulação",TRUE)</f>
        <v>274088800</v>
      </c>
      <c r="EF210" s="18">
        <f>VLOOKUP(BM210,Fundamentus!A:U,5,FALSE)</f>
        <v>0.84299999999999997</v>
      </c>
      <c r="EG210" s="2">
        <f t="shared" ca="1" si="238"/>
        <v>4512873717.6749706</v>
      </c>
      <c r="EH210" s="17">
        <v>268064698.82989326</v>
      </c>
      <c r="EI210" s="17">
        <f t="shared" ca="1" si="239"/>
        <v>268064698.82989326</v>
      </c>
      <c r="EK210" s="16">
        <f t="shared" ca="1" si="226"/>
        <v>0</v>
      </c>
      <c r="EL210" s="32" t="str">
        <f>IF(VLOOKUP(BM210,Fundamentus!A:U,3,FALSE)&lt;15,"Bom",IF(VLOOKUP(BM210,Fundamentus!A:U,3,FALSE)&gt;15,"Ruim","n/a"))</f>
        <v>Bom</v>
      </c>
      <c r="EM210" s="28" t="str">
        <f>IF(VLOOKUP(BM210,Fundamentus!A:U,4,FALSE)&lt;1,"Baixo",IF(VLOOKUP(BM210,Fundamentus!A:U,4,FALSE)&lt;1.5,"Moderado",IF(VLOOKUP(BM210,Fundamentus!A:U,4,FALSE)&gt;1.5,"Alto","n/a")))</f>
        <v>Moderado</v>
      </c>
      <c r="EN210" s="17" t="str">
        <f>IF(VLOOKUP(BM210,Fundamentus!A:U,8,FALSE)&lt;0,"Risco elevado",IF(VLOOKUP(BM210,Fundamentus!A:U,8,FALSE)&lt;1,"Saudável",IF(VLOOKUP(BM210,Fundamentus!A:U,8,FALSE)&lt;3,"Estável",IF(VLOOKUP(BM210,Fundamentus!A:U,8,FALSE)&gt;3,"Alerta","n/a"))))</f>
        <v>Alerta</v>
      </c>
      <c r="EO210" s="28" t="str">
        <f t="shared" si="240"/>
        <v>Ruim</v>
      </c>
      <c r="EP210" s="17" t="str">
        <f>IF(VLOOKUP(BM210,Fundamentus!A:U,12,FALSE)&lt;2,"Subvalorizada",IF(VLOOKUP(BM210,Fundamentus!A:U,12,FALSE)&lt;6,"Muita barata",IF(VLOOKUP(BM210,Fundamentus!A:U,12,FALSE)&lt;6,"Barata",IF(VLOOKUP(BM210,Fundamentus!A:U,12,FALSE)&lt;8,"Atrativa",IF(VLOOKUP(BM210,Fundamentus!A:U,12,FALSE)&gt;8,"Supervalorizada","n/a")))))</f>
        <v>Muita barata</v>
      </c>
      <c r="ER210" s="17" t="str">
        <f>IF(VLOOKUP(BM210,Fundamentus!A:U,17,FALSE)&lt;0.1,"Fraco retorno",IF(VLOOKUP(BM210,Fundamentus!A:U,17,FALSE)&gt;0.1,"Bom retorno","n/a"))</f>
        <v>Bom retorno</v>
      </c>
      <c r="ES210" s="17" t="str">
        <f>IF(VLOOKUP(BM210,Fundamentus!A:U,16,FALSE)&lt;0.1,"Ineficiente",IF(VLOOKUP(BM210,Fundamentus!A:U,16,FALSE)&gt;0.1,"Eficiente","n/a"))</f>
        <v>Eficiente</v>
      </c>
      <c r="ET210" s="33" t="str">
        <f>IF(VLOOKUP(BM210,Fundamentus!A:U,16,FALSE)&lt;0.1,"Oper. Ineficiente",IF(VLOOKUP(BM210,Fundamentus!A:U,16,FALSE)&gt;0.1,"Oper.Eficiente","n/a"))</f>
        <v>Oper.Eficiente</v>
      </c>
      <c r="EU210" s="34">
        <f>VLOOKUP(BM210,Fundamentus!A:U,14,FALSE)</f>
        <v>5.9400000000000001E-2</v>
      </c>
      <c r="EV210" s="17" t="str">
        <f>IF(VLOOKUP(BM210,Fundamentus!A:U,21,FALSE)&lt;0,"Negativo",IF(VLOOKUP(BM210,Fundamentus!A:U,21,FALSE)&lt;0.05,"Fraco",IF(VLOOKUP(BM210,Fundamentus!A:U,21,FALSE)&lt;0.1,"Bom",IF(VLOOKUP(BM210,Fundamentus!A:U,21,FALSE)&gt;0.1,"Muito bom","n/a"))))</f>
        <v>Bom</v>
      </c>
      <c r="EX210" s="29" t="str">
        <f>IF(VLOOKUP(BM210,Fundamentus!A:U,15,FALSE)&gt;1,"Bom",IF(VLOOKUP(BM210,Fundamentus!A:U,15,FALSE)&lt;1,"Ruim","n/a"))</f>
        <v>Bom</v>
      </c>
      <c r="EY210" s="17" t="str">
        <f>IF(VLOOKUP(BM210,Fundamentus!A:U,20,FALSE)&lt;0.5,"Baixa",IF(VLOOKUP(BM210,Fundamentus!A:U,20,FALSE)&lt;1,"Moderada",IF(VLOOKUP(BM210,Fundamentus!A:U,20,FALSE)&lt;2,"Alerta",IF(VLOOKUP(BM210,Fundamentus!A:U,20,FALSE)&gt;2,"Alta","n/a"))))</f>
        <v>Alerta</v>
      </c>
    </row>
    <row r="211" spans="1:156" s="2" customFormat="1" ht="11.25" x14ac:dyDescent="0.2">
      <c r="A211" s="4">
        <v>12.01</v>
      </c>
      <c r="B211" s="4">
        <v>10.61</v>
      </c>
      <c r="C211" s="4">
        <v>10.55</v>
      </c>
      <c r="D211" s="4">
        <v>10.07</v>
      </c>
      <c r="E211" s="4">
        <v>10.5</v>
      </c>
      <c r="F211" s="4">
        <v>9.7200000000000006</v>
      </c>
      <c r="G211" s="4">
        <v>9.06</v>
      </c>
      <c r="H211" s="4">
        <v>9.44</v>
      </c>
      <c r="I211" s="4">
        <v>9.4</v>
      </c>
      <c r="J211" s="4">
        <v>9.99</v>
      </c>
      <c r="K211" s="4">
        <v>10.07</v>
      </c>
      <c r="L211" s="4">
        <v>9.98</v>
      </c>
      <c r="M211" s="4">
        <v>9.61</v>
      </c>
      <c r="N211" s="4">
        <v>9.57</v>
      </c>
      <c r="O211" s="4">
        <v>8.98</v>
      </c>
      <c r="P211" s="4">
        <v>9.15</v>
      </c>
      <c r="Q211" s="4">
        <v>9.68</v>
      </c>
      <c r="R211" s="4">
        <v>9.91</v>
      </c>
      <c r="S211" s="4">
        <v>9.6199999999999992</v>
      </c>
      <c r="T211" s="4">
        <v>9.68</v>
      </c>
      <c r="U211" s="4">
        <v>9.27</v>
      </c>
      <c r="V211" s="4">
        <v>9.08</v>
      </c>
      <c r="W211" s="4">
        <v>7.54</v>
      </c>
      <c r="X211" s="4">
        <v>7.55</v>
      </c>
      <c r="Y211" s="4">
        <v>7.6</v>
      </c>
      <c r="Z211" s="4">
        <v>7.55</v>
      </c>
      <c r="AA211" s="4">
        <v>7.61</v>
      </c>
      <c r="AB211" s="4">
        <v>7.7</v>
      </c>
      <c r="AC211" s="4">
        <v>6.98</v>
      </c>
      <c r="AD211" s="4">
        <v>7.28</v>
      </c>
      <c r="AE211" s="4">
        <v>6.78</v>
      </c>
      <c r="AF211" s="4">
        <v>6.68</v>
      </c>
      <c r="AG211" s="4">
        <v>6.2</v>
      </c>
      <c r="AH211" s="4">
        <v>6.01</v>
      </c>
      <c r="AI211" s="4">
        <v>5.42</v>
      </c>
      <c r="AJ211" s="4">
        <v>5.66</v>
      </c>
      <c r="AK211" s="4">
        <v>5.4</v>
      </c>
      <c r="AL211" s="4">
        <v>5.34</v>
      </c>
      <c r="AM211" s="4">
        <v>5.17</v>
      </c>
      <c r="AN211" s="4">
        <v>5.61</v>
      </c>
      <c r="AO211" s="4">
        <v>5.56</v>
      </c>
      <c r="AP211" s="4">
        <v>6.09</v>
      </c>
      <c r="AQ211" s="4">
        <v>5.86</v>
      </c>
      <c r="AR211" s="4">
        <v>5.39</v>
      </c>
      <c r="AS211" s="4">
        <v>5.64</v>
      </c>
      <c r="AT211" s="4">
        <v>5.44</v>
      </c>
      <c r="AU211" s="4">
        <v>5.62</v>
      </c>
      <c r="AV211" s="4">
        <v>5.42</v>
      </c>
      <c r="AW211" s="4">
        <v>5.4</v>
      </c>
      <c r="AX211" s="4">
        <v>5.65</v>
      </c>
      <c r="AY211" s="12">
        <v>6.27</v>
      </c>
      <c r="AZ211" s="12">
        <v>6.81</v>
      </c>
      <c r="BA211" s="12">
        <v>6.74</v>
      </c>
      <c r="BB211" s="15">
        <v>6.67</v>
      </c>
      <c r="BC211" s="52">
        <v>6.59</v>
      </c>
      <c r="BD211" s="52">
        <v>6.32</v>
      </c>
      <c r="BE211" s="52">
        <v>6.22</v>
      </c>
      <c r="BF211" s="52">
        <v>5.83</v>
      </c>
      <c r="BG211" s="67">
        <v>6.02</v>
      </c>
      <c r="BH211" s="52">
        <v>6.2</v>
      </c>
      <c r="BI211" s="52">
        <v>5.85</v>
      </c>
      <c r="BJ211" s="52">
        <v>5.99</v>
      </c>
      <c r="BK211" s="52">
        <v>5.6</v>
      </c>
      <c r="BL211" s="52" cm="1">
        <f t="array" aca="1" ref="BL211" ca="1">_FV(EC211,"Preço")</f>
        <v>5.6</v>
      </c>
      <c r="BM211" s="69" t="s">
        <v>207</v>
      </c>
      <c r="BN211" s="36" cm="1">
        <f t="array" aca="1" ref="BN211" ca="1">_FV(EC211,"Média de volume",TRUE)</f>
        <v>402360</v>
      </c>
      <c r="BO211" s="36">
        <v>907500</v>
      </c>
      <c r="BP211" s="36" cm="1">
        <f t="array" aca="1" ref="BP211" ca="1">_FV(EC211,"Volume")</f>
        <v>907500</v>
      </c>
      <c r="BQ211" s="24" cm="1">
        <f t="array" aca="1" ref="BQ211" ca="1">_FV(EC211,"Beta")</f>
        <v>1.4629000000000001</v>
      </c>
      <c r="BR211" s="71" cm="1">
        <f t="array" aca="1" ref="BR211" ca="1">_FV(EC211,"Variação (%)",TRUE)</f>
        <v>-3.4483E-2</v>
      </c>
      <c r="BT211" s="17" cm="1">
        <f t="array" aca="1" ref="BT211" ca="1">_FV(EC211,"Baixo")</f>
        <v>5.58</v>
      </c>
      <c r="BU211" s="17" cm="1">
        <f t="array" aca="1" ref="BU211" ca="1">_FV(EC211,"Alto")</f>
        <v>5.82</v>
      </c>
      <c r="BV211" s="24"/>
      <c r="BW211" s="63">
        <f ca="1">SQRT(22.5*(BL211/VLOOKUP(BM211,Fundamentus!A:U,3,FALSE))*(BL211/VLOOKUP(BM211,Fundamentus!A:U,4,FALSE)))</f>
        <v>9.3597163857890262</v>
      </c>
      <c r="BY211" s="62">
        <f t="shared" ca="1" si="241"/>
        <v>0</v>
      </c>
      <c r="BZ211" s="8"/>
      <c r="CA211" s="61">
        <f t="shared" si="242"/>
        <v>5.17</v>
      </c>
      <c r="CB211" s="61">
        <f t="shared" si="243"/>
        <v>12.01</v>
      </c>
      <c r="CC211" s="61">
        <f t="shared" si="244"/>
        <v>7.4795238095238092</v>
      </c>
      <c r="CD211" s="14"/>
      <c r="CE211" s="35">
        <f t="shared" si="227"/>
        <v>5.4541282615518645</v>
      </c>
      <c r="CF211" s="15">
        <f t="shared" si="245"/>
        <v>5.8269999999999982</v>
      </c>
      <c r="CG211" s="35">
        <f t="shared" si="228"/>
        <v>6.1998717384481319</v>
      </c>
      <c r="CI211" s="14"/>
      <c r="CJ211" s="17">
        <f t="shared" si="229"/>
        <v>-3.4033333333333324</v>
      </c>
      <c r="CK211" s="17">
        <f t="shared" si="230"/>
        <v>0.88333333333333375</v>
      </c>
      <c r="CL211" s="17">
        <f t="shared" si="231"/>
        <v>3.4366666666666674</v>
      </c>
      <c r="CM211" s="38">
        <f t="shared" si="246"/>
        <v>7.7233333333333336</v>
      </c>
      <c r="CN211" s="17">
        <f t="shared" si="232"/>
        <v>10.276666666666667</v>
      </c>
      <c r="CO211" s="17">
        <f t="shared" si="233"/>
        <v>14.563333333333333</v>
      </c>
      <c r="CP211" s="17">
        <f t="shared" si="234"/>
        <v>17.116666666666667</v>
      </c>
      <c r="CQ211" s="2" cm="1">
        <f t="array" aca="1" ref="CQ211" ca="1">MAX(_xlfn._xlws.FILTER(CJ211:CP211,CJ211:CP211&lt;BL211))</f>
        <v>3.4366666666666674</v>
      </c>
      <c r="CR211" s="2" cm="1">
        <f t="array" aca="1" ref="CR211" ca="1">MIN(_xlfn._xlws.FILTER($CJ211:$CP211,$CJ211:$CP211&gt;BL211))</f>
        <v>7.7233333333333336</v>
      </c>
      <c r="CS211" s="16">
        <f t="shared" ca="1" si="248"/>
        <v>1.2473326867119297</v>
      </c>
      <c r="CT211" s="20">
        <f t="shared" ca="1" si="249"/>
        <v>-0.62366634335596483</v>
      </c>
      <c r="CU211" s="20">
        <f t="shared" ca="1" si="250"/>
        <v>-0.41577756223730988</v>
      </c>
      <c r="CV211" s="20">
        <f t="shared" ca="1" si="251"/>
        <v>-0.24946653734238594</v>
      </c>
      <c r="CW211" s="20">
        <f t="shared" ca="1" si="252"/>
        <v>-0.13859252074576997</v>
      </c>
      <c r="CX211" s="20">
        <f t="shared" ca="1" si="253"/>
        <v>-7.3372510983054681E-2</v>
      </c>
      <c r="CY211" s="20">
        <f t="shared" ca="1" si="254"/>
        <v>-3.7797960203391809E-2</v>
      </c>
      <c r="CZ211" s="20">
        <f t="shared" ca="1" si="255"/>
        <v>-1.9189733641721995E-2</v>
      </c>
      <c r="DA211" s="21">
        <f t="shared" ca="1" si="256"/>
        <v>1.9189733641721995E-2</v>
      </c>
      <c r="DB211" s="21">
        <f t="shared" ca="1" si="257"/>
        <v>3.7797960203391809E-2</v>
      </c>
      <c r="DC211" s="21">
        <f t="shared" ca="1" si="258"/>
        <v>7.3372510983054681E-2</v>
      </c>
      <c r="DD211" s="21">
        <f t="shared" ca="1" si="259"/>
        <v>0.13859252074576997</v>
      </c>
      <c r="DE211" s="21">
        <f t="shared" ca="1" si="260"/>
        <v>0.24946653734238594</v>
      </c>
      <c r="DF211" s="21">
        <f t="shared" ca="1" si="261"/>
        <v>0.41577756223730988</v>
      </c>
      <c r="DG211" s="21">
        <f t="shared" ca="1" si="262"/>
        <v>0.62366634335596483</v>
      </c>
      <c r="DI211" s="16" cm="1">
        <f t="array" aca="1" ref="DI211" ca="1">MAX(_xlfn._xlws.FILTER(CT211:DG211,CT211:DG211&lt;BR211))</f>
        <v>-3.7797960203391809E-2</v>
      </c>
      <c r="DJ211" s="16" cm="1">
        <f t="array" aca="1" ref="DJ211" ca="1">MIN(_xlfn._xlws.FILTER(CT211:DG211,CT211:DG211&gt;BR211))</f>
        <v>-1.9189733641721995E-2</v>
      </c>
      <c r="DK211" s="2" cm="1">
        <f t="array" aca="1" ref="DK211" ca="1">_FV(EC211,"Fechamento anterior",TRUE)</f>
        <v>5.8</v>
      </c>
      <c r="DL211" s="28">
        <f t="shared" ca="1" si="235"/>
        <v>0.17815784710676835</v>
      </c>
      <c r="DM211" s="15">
        <f t="shared" ca="1" si="263"/>
        <v>5.5807718308203276</v>
      </c>
      <c r="DN211" s="15">
        <f t="shared" ca="1" si="264"/>
        <v>5.6886995448780127</v>
      </c>
      <c r="DO211" s="9"/>
      <c r="DP211" s="9"/>
      <c r="DQ211" s="9"/>
      <c r="DR211" s="89">
        <v>4.8549374500931601E-2</v>
      </c>
      <c r="DS211" s="89">
        <v>1.8457402449687882E-2</v>
      </c>
      <c r="DT211" s="89">
        <v>3.8379467283443991E-2</v>
      </c>
      <c r="DU211" s="89">
        <v>1.8608226561669813E-2</v>
      </c>
      <c r="DV211" s="89">
        <f t="shared" ca="1" si="236"/>
        <v>1.8608226561669813E-2</v>
      </c>
      <c r="DW211" s="72">
        <f t="shared" ca="1" si="237"/>
        <v>-0.60878842935309818</v>
      </c>
      <c r="DX211" s="37"/>
      <c r="DY211" s="35">
        <f t="shared" si="247"/>
        <v>0.18643586922406694</v>
      </c>
      <c r="DZ211" s="56"/>
      <c r="EA211" s="56"/>
      <c r="EC211" s="2" t="e" vm="213">
        <v>#VALUE!</v>
      </c>
      <c r="EE211" s="10" cm="1">
        <f t="array" aca="1" ref="EE211" ca="1">_FV(EC211,"Ações em circulação",TRUE)</f>
        <v>286431100</v>
      </c>
      <c r="EF211" s="18">
        <f>VLOOKUP(BM211,Fundamentus!A:U,5,FALSE)</f>
        <v>0.185</v>
      </c>
      <c r="EG211" s="2">
        <f t="shared" ca="1" si="238"/>
        <v>8670346810.8108101</v>
      </c>
      <c r="EH211" s="17">
        <v>191614664.51891893</v>
      </c>
      <c r="EI211" s="17">
        <f t="shared" ca="1" si="239"/>
        <v>191614664.51891893</v>
      </c>
      <c r="EK211" s="16">
        <f t="shared" ca="1" si="226"/>
        <v>0</v>
      </c>
      <c r="EL211" s="32" t="str">
        <f>IF(VLOOKUP(BM211,Fundamentus!A:U,3,FALSE)&lt;15,"Bom",IF(VLOOKUP(BM211,Fundamentus!A:U,3,FALSE)&gt;15,"Ruim","n/a"))</f>
        <v>Bom</v>
      </c>
      <c r="EM211" s="28" t="str">
        <f>IF(VLOOKUP(BM211,Fundamentus!A:U,4,FALSE)&lt;1,"Baixo",IF(VLOOKUP(BM211,Fundamentus!A:U,4,FALSE)&lt;1.5,"Moderado",IF(VLOOKUP(BM211,Fundamentus!A:U,4,FALSE)&gt;1.5,"Alto","n/a")))</f>
        <v>Baixo</v>
      </c>
      <c r="EN211" s="17" t="str">
        <f>IF(VLOOKUP(BM211,Fundamentus!A:U,8,FALSE)&lt;0,"Risco elevado",IF(VLOOKUP(BM211,Fundamentus!A:U,8,FALSE)&lt;1,"Saudável",IF(VLOOKUP(BM211,Fundamentus!A:U,8,FALSE)&lt;3,"Estável",IF(VLOOKUP(BM211,Fundamentus!A:U,8,FALSE)&gt;3,"Alerta","n/a"))))</f>
        <v>Saudável</v>
      </c>
      <c r="EO211" s="28" t="str">
        <f t="shared" si="240"/>
        <v>Ruim</v>
      </c>
      <c r="EP211" s="17" t="str">
        <f>IF(VLOOKUP(BM211,Fundamentus!A:U,12,FALSE)&lt;2,"Subvalorizada",IF(VLOOKUP(BM211,Fundamentus!A:U,12,FALSE)&lt;6,"Muita barata",IF(VLOOKUP(BM211,Fundamentus!A:U,12,FALSE)&lt;6,"Barata",IF(VLOOKUP(BM211,Fundamentus!A:U,12,FALSE)&lt;8,"Atrativa",IF(VLOOKUP(BM211,Fundamentus!A:U,12,FALSE)&gt;8,"Supervalorizada","n/a")))))</f>
        <v>Muita barata</v>
      </c>
      <c r="ER211" s="17" t="str">
        <f>IF(VLOOKUP(BM211,Fundamentus!A:U,17,FALSE)&lt;0.1,"Fraco retorno",IF(VLOOKUP(BM211,Fundamentus!A:U,17,FALSE)&gt;0.1,"Bom retorno","n/a"))</f>
        <v>Bom retorno</v>
      </c>
      <c r="ES211" s="17" t="str">
        <f>IF(VLOOKUP(BM211,Fundamentus!A:U,16,FALSE)&lt;0.1,"Ineficiente",IF(VLOOKUP(BM211,Fundamentus!A:U,16,FALSE)&gt;0.1,"Eficiente","n/a"))</f>
        <v>Eficiente</v>
      </c>
      <c r="ET211" s="33" t="str">
        <f>IF(VLOOKUP(BM211,Fundamentus!A:U,16,FALSE)&lt;0.1,"Oper. Ineficiente",IF(VLOOKUP(BM211,Fundamentus!A:U,16,FALSE)&gt;0.1,"Oper.Eficiente","n/a"))</f>
        <v>Oper.Eficiente</v>
      </c>
      <c r="EU211" s="34">
        <f>VLOOKUP(BM211,Fundamentus!A:U,14,FALSE)</f>
        <v>2.2100000000000002E-2</v>
      </c>
      <c r="EV211" s="17" t="str">
        <f>IF(VLOOKUP(BM211,Fundamentus!A:U,21,FALSE)&lt;0,"Negativo",IF(VLOOKUP(BM211,Fundamentus!A:U,21,FALSE)&lt;0.05,"Fraco",IF(VLOOKUP(BM211,Fundamentus!A:U,21,FALSE)&lt;0.1,"Bom",IF(VLOOKUP(BM211,Fundamentus!A:U,21,FALSE)&gt;0.1,"Muito bom","n/a"))))</f>
        <v>Muito bom</v>
      </c>
      <c r="EX211" s="29" t="str">
        <f>IF(VLOOKUP(BM211,Fundamentus!A:U,15,FALSE)&gt;1,"Bom",IF(VLOOKUP(BM211,Fundamentus!A:U,15,FALSE)&lt;1,"Ruim","n/a"))</f>
        <v>Bom</v>
      </c>
      <c r="EY211" s="17" t="str">
        <f>IF(VLOOKUP(BM211,Fundamentus!A:U,20,FALSE)&lt;0.5,"Baixa",IF(VLOOKUP(BM211,Fundamentus!A:U,20,FALSE)&lt;1,"Moderada",IF(VLOOKUP(BM211,Fundamentus!A:U,20,FALSE)&lt;2,"Alerta",IF(VLOOKUP(BM211,Fundamentus!A:U,20,FALSE)&gt;2,"Alta","n/a"))))</f>
        <v>Alta</v>
      </c>
    </row>
    <row r="212" spans="1:156" s="2" customFormat="1" ht="11.25" x14ac:dyDescent="0.2">
      <c r="A212" s="4">
        <v>7.27</v>
      </c>
      <c r="B212" s="4">
        <v>6.05</v>
      </c>
      <c r="C212" s="4">
        <v>7.07</v>
      </c>
      <c r="D212" s="4">
        <v>9.08</v>
      </c>
      <c r="E212" s="4">
        <v>8.81</v>
      </c>
      <c r="F212" s="4">
        <v>7.03</v>
      </c>
      <c r="G212" s="4">
        <v>6.06</v>
      </c>
      <c r="H212" s="4">
        <v>5.8</v>
      </c>
      <c r="I212" s="4">
        <v>6.25</v>
      </c>
      <c r="J212" s="4">
        <v>7.06</v>
      </c>
      <c r="K212" s="4">
        <v>7.35</v>
      </c>
      <c r="L212" s="4">
        <v>7.15</v>
      </c>
      <c r="M212" s="4">
        <v>7.25</v>
      </c>
      <c r="N212" s="4">
        <v>6.5</v>
      </c>
      <c r="O212" s="4">
        <v>6.45</v>
      </c>
      <c r="P212" s="4">
        <v>6.55</v>
      </c>
      <c r="Q212" s="4">
        <v>6.1</v>
      </c>
      <c r="R212" s="4">
        <v>6.66</v>
      </c>
      <c r="S212" s="4">
        <v>5.2</v>
      </c>
      <c r="T212" s="4">
        <v>6.2</v>
      </c>
      <c r="U212" s="4">
        <v>5.26</v>
      </c>
      <c r="V212" s="4">
        <v>4.8600000000000003</v>
      </c>
      <c r="W212" s="4">
        <v>5.07</v>
      </c>
      <c r="X212" s="4">
        <v>4.55</v>
      </c>
      <c r="Y212" s="4">
        <v>4.7</v>
      </c>
      <c r="Z212" s="4">
        <v>4.58</v>
      </c>
      <c r="AA212" s="4">
        <v>4.4400000000000004</v>
      </c>
      <c r="AB212" s="4">
        <v>4.37</v>
      </c>
      <c r="AC212" s="4">
        <v>3.95</v>
      </c>
      <c r="AD212" s="4">
        <v>3.33</v>
      </c>
      <c r="AE212" s="4">
        <v>2.1800000000000002</v>
      </c>
      <c r="AF212" s="4">
        <v>3.04</v>
      </c>
      <c r="AG212" s="4">
        <v>2.8</v>
      </c>
      <c r="AH212" s="4">
        <v>2.0299999999999998</v>
      </c>
      <c r="AI212" s="4">
        <v>2.39</v>
      </c>
      <c r="AJ212" s="4">
        <v>2.44</v>
      </c>
      <c r="AK212" s="4">
        <v>2.08</v>
      </c>
      <c r="AL212" s="4">
        <v>2.25</v>
      </c>
      <c r="AM212" s="4">
        <v>2.27</v>
      </c>
      <c r="AN212" s="4">
        <v>2.13</v>
      </c>
      <c r="AO212" s="4">
        <v>1.96</v>
      </c>
      <c r="AP212" s="4">
        <v>1.95</v>
      </c>
      <c r="AQ212" s="4">
        <v>4.9000000000000004</v>
      </c>
      <c r="AR212" s="4">
        <v>5.62</v>
      </c>
      <c r="AS212" s="4">
        <v>5.29</v>
      </c>
      <c r="AT212" s="4">
        <v>5.44</v>
      </c>
      <c r="AU212" s="4">
        <v>5.69</v>
      </c>
      <c r="AV212" s="4">
        <v>5.43</v>
      </c>
      <c r="AW212" s="4">
        <v>5.23</v>
      </c>
      <c r="AX212" s="4">
        <v>5.28</v>
      </c>
      <c r="AY212" s="12">
        <v>5.47</v>
      </c>
      <c r="AZ212" s="12">
        <v>6.26</v>
      </c>
      <c r="BA212" s="12">
        <v>6.05</v>
      </c>
      <c r="BB212" s="15">
        <v>5.36</v>
      </c>
      <c r="BC212" s="52">
        <v>4.78</v>
      </c>
      <c r="BD212" s="52">
        <v>5.2</v>
      </c>
      <c r="BE212" s="52">
        <v>5.04</v>
      </c>
      <c r="BF212" s="52">
        <v>4.62</v>
      </c>
      <c r="BG212" s="67">
        <v>4.5999999999999996</v>
      </c>
      <c r="BH212" s="52">
        <v>4.5</v>
      </c>
      <c r="BI212" s="52">
        <v>5.08</v>
      </c>
      <c r="BJ212" s="52">
        <v>4.9800000000000004</v>
      </c>
      <c r="BK212" s="52">
        <v>5.36</v>
      </c>
      <c r="BL212" s="52" cm="1">
        <f t="array" aca="1" ref="BL212" ca="1">_FV(EC212,"Preço")</f>
        <v>5.36</v>
      </c>
      <c r="BM212" s="69" t="s">
        <v>208</v>
      </c>
      <c r="BN212" s="36" cm="1">
        <f t="array" aca="1" ref="BN212" ca="1">_FV(EC212,"Média de volume",TRUE)</f>
        <v>2336260</v>
      </c>
      <c r="BO212" s="36">
        <v>1466600</v>
      </c>
      <c r="BP212" s="36" cm="1">
        <f t="array" aca="1" ref="BP212" ca="1">_FV(EC212,"Volume")</f>
        <v>1466600</v>
      </c>
      <c r="BQ212" s="24" cm="1">
        <f t="array" aca="1" ref="BQ212" ca="1">_FV(EC212,"Beta")</f>
        <v>1.3875999999999999</v>
      </c>
      <c r="BR212" s="71" cm="1">
        <f t="array" aca="1" ref="BR212" ca="1">_FV(EC212,"Variação (%)",TRUE)</f>
        <v>-3.7169999999999998E-3</v>
      </c>
      <c r="BT212" s="17" cm="1">
        <f t="array" aca="1" ref="BT212" ca="1">_FV(EC212,"Baixo")</f>
        <v>5.21</v>
      </c>
      <c r="BU212" s="17" cm="1">
        <f t="array" aca="1" ref="BU212" ca="1">_FV(EC212,"Alto")</f>
        <v>5.54</v>
      </c>
      <c r="BV212" s="24"/>
      <c r="BW212" s="63" t="e">
        <f ca="1">SQRT(22.5*(BL212/VLOOKUP(BM212,Fundamentus!A:U,3,FALSE))*(BL212/VLOOKUP(BM212,Fundamentus!A:U,4,FALSE)))</f>
        <v>#NUM!</v>
      </c>
      <c r="BY212" s="62">
        <f t="shared" ca="1" si="241"/>
        <v>0</v>
      </c>
      <c r="BZ212" s="8"/>
      <c r="CA212" s="61">
        <f t="shared" si="242"/>
        <v>1.95</v>
      </c>
      <c r="CB212" s="61">
        <f t="shared" si="243"/>
        <v>9.08</v>
      </c>
      <c r="CC212" s="61">
        <f t="shared" si="244"/>
        <v>5.0587301587301594</v>
      </c>
      <c r="CD212" s="14"/>
      <c r="CE212" s="35">
        <f t="shared" si="227"/>
        <v>4.4888938664299429</v>
      </c>
      <c r="CF212" s="15">
        <f t="shared" si="245"/>
        <v>5.1040000000000418</v>
      </c>
      <c r="CG212" s="35">
        <f t="shared" si="228"/>
        <v>5.7191061335701407</v>
      </c>
      <c r="CI212" s="14"/>
      <c r="CJ212" s="17">
        <f t="shared" si="229"/>
        <v>-5.536666666666668</v>
      </c>
      <c r="CK212" s="17">
        <f t="shared" si="230"/>
        <v>-1.7933333333333339</v>
      </c>
      <c r="CL212" s="17">
        <f t="shared" si="231"/>
        <v>1.5933333333333319</v>
      </c>
      <c r="CM212" s="38">
        <f t="shared" si="246"/>
        <v>5.336666666666666</v>
      </c>
      <c r="CN212" s="17">
        <f t="shared" si="232"/>
        <v>8.7233333333333327</v>
      </c>
      <c r="CO212" s="17">
        <f t="shared" si="233"/>
        <v>12.466666666666665</v>
      </c>
      <c r="CP212" s="17">
        <f t="shared" si="234"/>
        <v>15.853333333333332</v>
      </c>
      <c r="CQ212" s="2" cm="1">
        <f t="array" aca="1" ref="CQ212" ca="1">MAX(_xlfn._xlws.FILTER(CJ212:CP212,CJ212:CP212&lt;BL212))</f>
        <v>5.336666666666666</v>
      </c>
      <c r="CR212" s="2" cm="1">
        <f t="array" aca="1" ref="CR212" ca="1">MIN(_xlfn._xlws.FILTER($CJ212:$CP212,$CJ212:$CP212&gt;BL212))</f>
        <v>8.7233333333333327</v>
      </c>
      <c r="CS212" s="16">
        <f t="shared" ca="1" si="248"/>
        <v>0.63460337289194269</v>
      </c>
      <c r="CT212" s="20">
        <f t="shared" ca="1" si="249"/>
        <v>-0.31730168644597134</v>
      </c>
      <c r="CU212" s="20">
        <f t="shared" ca="1" si="250"/>
        <v>-0.21153445763064757</v>
      </c>
      <c r="CV212" s="20">
        <f t="shared" ca="1" si="251"/>
        <v>-0.12692067457838854</v>
      </c>
      <c r="CW212" s="20">
        <f t="shared" ca="1" si="252"/>
        <v>-7.0511485876882524E-2</v>
      </c>
      <c r="CX212" s="20">
        <f t="shared" ca="1" si="253"/>
        <v>-3.7329610170114276E-2</v>
      </c>
      <c r="CY212" s="20">
        <f t="shared" ca="1" si="254"/>
        <v>-1.9230405239149779E-2</v>
      </c>
      <c r="CZ212" s="20">
        <f t="shared" ca="1" si="255"/>
        <v>-9.7631288137221949E-3</v>
      </c>
      <c r="DA212" s="21">
        <f t="shared" ca="1" si="256"/>
        <v>9.7631288137221949E-3</v>
      </c>
      <c r="DB212" s="21">
        <f t="shared" ca="1" si="257"/>
        <v>1.9230405239149779E-2</v>
      </c>
      <c r="DC212" s="21">
        <f t="shared" ca="1" si="258"/>
        <v>3.7329610170114276E-2</v>
      </c>
      <c r="DD212" s="21">
        <f t="shared" ca="1" si="259"/>
        <v>7.0511485876882524E-2</v>
      </c>
      <c r="DE212" s="21">
        <f t="shared" ca="1" si="260"/>
        <v>0.12692067457838854</v>
      </c>
      <c r="DF212" s="21">
        <f t="shared" ca="1" si="261"/>
        <v>0.21153445763064757</v>
      </c>
      <c r="DG212" s="21">
        <f t="shared" ca="1" si="262"/>
        <v>0.31730168644597134</v>
      </c>
      <c r="DI212" s="16" cm="1">
        <f t="array" aca="1" ref="DI212" ca="1">MAX(_xlfn._xlws.FILTER(CT212:DG212,CT212:DG212&lt;BR212))</f>
        <v>-9.7631288137221949E-3</v>
      </c>
      <c r="DJ212" s="16" cm="1">
        <f t="array" aca="1" ref="DJ212" ca="1">MIN(_xlfn._xlws.FILTER(CT212:DG212,CT212:DG212&gt;BR212))</f>
        <v>9.7631288137221949E-3</v>
      </c>
      <c r="DK212" s="2" cm="1">
        <f t="array" aca="1" ref="DK212" ca="1">_FV(EC212,"Fechamento anterior",TRUE)</f>
        <v>5.38</v>
      </c>
      <c r="DL212" s="28">
        <f t="shared" ca="1" si="235"/>
        <v>0.30961676375025865</v>
      </c>
      <c r="DM212" s="15">
        <f t="shared" ca="1" si="263"/>
        <v>5.3274743669821749</v>
      </c>
      <c r="DN212" s="15">
        <f t="shared" ca="1" si="264"/>
        <v>5.4325256330178249</v>
      </c>
      <c r="DO212" s="9"/>
      <c r="DP212" s="9"/>
      <c r="DQ212" s="9"/>
      <c r="DR212" s="89">
        <v>1.4248998864383499E-2</v>
      </c>
      <c r="DS212" s="89">
        <v>8.8863375430539612E-2</v>
      </c>
      <c r="DT212" s="89">
        <v>3.5048912036359778E-2</v>
      </c>
      <c r="DU212" s="89">
        <v>1.952625762744439E-2</v>
      </c>
      <c r="DV212" s="89">
        <f t="shared" ca="1" si="236"/>
        <v>1.952625762744439E-2</v>
      </c>
      <c r="DW212" s="72">
        <f t="shared" ca="1" si="237"/>
        <v>0.41618833893611978</v>
      </c>
      <c r="DX212" s="37"/>
      <c r="DY212" s="35">
        <f t="shared" si="247"/>
        <v>0.30755306678504929</v>
      </c>
      <c r="DZ212" s="56"/>
      <c r="EA212" s="56"/>
      <c r="EC212" s="2" t="e" vm="214">
        <v>#VALUE!</v>
      </c>
      <c r="EE212" s="10" cm="1">
        <f t="array" aca="1" ref="EE212" ca="1">_FV(EC212,"Ações em circulação",TRUE)</f>
        <v>651756300</v>
      </c>
      <c r="EF212" s="18">
        <f>VLOOKUP(BM212,Fundamentus!A:U,5,FALSE)</f>
        <v>0.47899999999999998</v>
      </c>
      <c r="EG212" s="2">
        <f t="shared" ca="1" si="238"/>
        <v>7293139390.3966599</v>
      </c>
      <c r="EH212" s="17">
        <v>-1012287747.3870565</v>
      </c>
      <c r="EI212" s="17">
        <f t="shared" ca="1" si="239"/>
        <v>-1012287747.3870565</v>
      </c>
      <c r="EK212" s="16">
        <f t="shared" ca="1" si="226"/>
        <v>0</v>
      </c>
      <c r="EL212" s="32" t="str">
        <f>IF(VLOOKUP(BM212,Fundamentus!A:U,3,FALSE)&lt;15,"Bom",IF(VLOOKUP(BM212,Fundamentus!A:U,3,FALSE)&gt;15,"Ruim","n/a"))</f>
        <v>Bom</v>
      </c>
      <c r="EM212" s="28" t="str">
        <f>IF(VLOOKUP(BM212,Fundamentus!A:U,4,FALSE)&lt;1,"Baixo",IF(VLOOKUP(BM212,Fundamentus!A:U,4,FALSE)&lt;1.5,"Moderado",IF(VLOOKUP(BM212,Fundamentus!A:U,4,FALSE)&gt;1.5,"Alto","n/a")))</f>
        <v>Moderado</v>
      </c>
      <c r="EN212" s="17" t="str">
        <f>IF(VLOOKUP(BM212,Fundamentus!A:U,8,FALSE)&lt;0,"Risco elevado",IF(VLOOKUP(BM212,Fundamentus!A:U,8,FALSE)&lt;1,"Saudável",IF(VLOOKUP(BM212,Fundamentus!A:U,8,FALSE)&lt;3,"Estável",IF(VLOOKUP(BM212,Fundamentus!A:U,8,FALSE)&gt;3,"Alerta","n/a"))))</f>
        <v>Estável</v>
      </c>
      <c r="EO212" s="28" t="str">
        <f t="shared" si="240"/>
        <v>Ruim</v>
      </c>
      <c r="EP212" s="17" t="str">
        <f>IF(VLOOKUP(BM212,Fundamentus!A:U,12,FALSE)&lt;2,"Subvalorizada",IF(VLOOKUP(BM212,Fundamentus!A:U,12,FALSE)&lt;6,"Muita barata",IF(VLOOKUP(BM212,Fundamentus!A:U,12,FALSE)&lt;6,"Barata",IF(VLOOKUP(BM212,Fundamentus!A:U,12,FALSE)&lt;8,"Atrativa",IF(VLOOKUP(BM212,Fundamentus!A:U,12,FALSE)&gt;8,"Supervalorizada","n/a")))))</f>
        <v>Atrativa</v>
      </c>
      <c r="ER212" s="17" t="str">
        <f>IF(VLOOKUP(BM212,Fundamentus!A:U,17,FALSE)&lt;0.1,"Fraco retorno",IF(VLOOKUP(BM212,Fundamentus!A:U,17,FALSE)&gt;0.1,"Bom retorno","n/a"))</f>
        <v>Fraco retorno</v>
      </c>
      <c r="ES212" s="17" t="str">
        <f>IF(VLOOKUP(BM212,Fundamentus!A:U,16,FALSE)&lt;0.1,"Ineficiente",IF(VLOOKUP(BM212,Fundamentus!A:U,16,FALSE)&gt;0.1,"Eficiente","n/a"))</f>
        <v>Ineficiente</v>
      </c>
      <c r="ET212" s="33" t="str">
        <f>IF(VLOOKUP(BM212,Fundamentus!A:U,16,FALSE)&lt;0.1,"Oper. Ineficiente",IF(VLOOKUP(BM212,Fundamentus!A:U,16,FALSE)&gt;0.1,"Oper.Eficiente","n/a"))</f>
        <v>Oper. Ineficiente</v>
      </c>
      <c r="EU212" s="34">
        <f>VLOOKUP(BM212,Fundamentus!A:U,14,FALSE)</f>
        <v>-0.13880000000000001</v>
      </c>
      <c r="EV212" s="17" t="str">
        <f>IF(VLOOKUP(BM212,Fundamentus!A:U,21,FALSE)&lt;0,"Negativo",IF(VLOOKUP(BM212,Fundamentus!A:U,21,FALSE)&lt;0.05,"Fraco",IF(VLOOKUP(BM212,Fundamentus!A:U,21,FALSE)&lt;0.1,"Bom",IF(VLOOKUP(BM212,Fundamentus!A:U,21,FALSE)&gt;0.1,"Muito bom","n/a"))))</f>
        <v>Muito bom</v>
      </c>
      <c r="EX212" s="29" t="str">
        <f>IF(VLOOKUP(BM212,Fundamentus!A:U,15,FALSE)&gt;1,"Bom",IF(VLOOKUP(BM212,Fundamentus!A:U,15,FALSE)&lt;1,"Ruim","n/a"))</f>
        <v>Bom</v>
      </c>
      <c r="EY212" s="17" t="str">
        <f>IF(VLOOKUP(BM212,Fundamentus!A:U,20,FALSE)&lt;0.5,"Baixa",IF(VLOOKUP(BM212,Fundamentus!A:U,20,FALSE)&lt;1,"Moderada",IF(VLOOKUP(BM212,Fundamentus!A:U,20,FALSE)&lt;2,"Alerta",IF(VLOOKUP(BM212,Fundamentus!A:U,20,FALSE)&gt;2,"Alta","n/a"))))</f>
        <v>Alerta</v>
      </c>
    </row>
    <row r="213" spans="1:156" s="2" customFormat="1" ht="11.25" x14ac:dyDescent="0.2">
      <c r="A213" s="4">
        <v>10.28</v>
      </c>
      <c r="B213" s="4">
        <v>10.54</v>
      </c>
      <c r="C213" s="4">
        <v>10.38</v>
      </c>
      <c r="D213" s="4">
        <v>10.34</v>
      </c>
      <c r="E213" s="4">
        <v>9.9600000000000009</v>
      </c>
      <c r="F213" s="4">
        <v>10.56</v>
      </c>
      <c r="G213" s="4">
        <v>9.6999999999999993</v>
      </c>
      <c r="H213" s="4">
        <v>10</v>
      </c>
      <c r="I213" s="4">
        <v>10.39</v>
      </c>
      <c r="J213" s="4">
        <v>12.65</v>
      </c>
      <c r="K213" s="4">
        <v>13.85</v>
      </c>
      <c r="L213" s="4">
        <v>12.39</v>
      </c>
      <c r="M213" s="4">
        <v>11</v>
      </c>
      <c r="N213" s="4">
        <v>10.11</v>
      </c>
      <c r="O213" s="4">
        <v>10.59</v>
      </c>
      <c r="P213" s="4">
        <v>12.5</v>
      </c>
      <c r="Q213" s="4">
        <v>15</v>
      </c>
      <c r="R213" s="4">
        <v>16</v>
      </c>
      <c r="S213" s="4">
        <v>15.3</v>
      </c>
      <c r="T213" s="4">
        <v>16.13</v>
      </c>
      <c r="U213" s="4">
        <v>15.44</v>
      </c>
      <c r="V213" s="4">
        <v>15</v>
      </c>
      <c r="W213" s="4">
        <v>15.21</v>
      </c>
      <c r="X213" s="4">
        <v>14.95</v>
      </c>
      <c r="Y213" s="4">
        <v>12.22</v>
      </c>
      <c r="Z213" s="4">
        <v>14.64</v>
      </c>
      <c r="AA213" s="4">
        <v>14.17</v>
      </c>
      <c r="AB213" s="4">
        <v>14.79</v>
      </c>
      <c r="AC213" s="4">
        <v>14.2</v>
      </c>
      <c r="AD213" s="4">
        <v>13.02</v>
      </c>
      <c r="AE213" s="4">
        <v>12</v>
      </c>
      <c r="AF213" s="4">
        <v>10.95</v>
      </c>
      <c r="AG213" s="4">
        <v>10.26</v>
      </c>
      <c r="AH213" s="4">
        <v>10.130000000000001</v>
      </c>
      <c r="AI213" s="4">
        <v>8.8000000000000007</v>
      </c>
      <c r="AJ213" s="4">
        <v>7.27</v>
      </c>
      <c r="AK213" s="4">
        <v>9.2200000000000006</v>
      </c>
      <c r="AL213" s="4">
        <v>10.8</v>
      </c>
      <c r="AM213" s="4">
        <v>12.09</v>
      </c>
      <c r="AN213" s="4">
        <v>11.79</v>
      </c>
      <c r="AO213" s="4">
        <v>10.19</v>
      </c>
      <c r="AP213" s="4">
        <v>10.3</v>
      </c>
      <c r="AQ213" s="4">
        <v>11.36</v>
      </c>
      <c r="AR213" s="4">
        <v>11.6</v>
      </c>
      <c r="AS213" s="4">
        <v>12.59</v>
      </c>
      <c r="AT213" s="4">
        <v>12.52</v>
      </c>
      <c r="AU213" s="4">
        <v>12.595000000000001</v>
      </c>
      <c r="AV213" s="4">
        <v>7.62</v>
      </c>
      <c r="AW213" s="4">
        <v>7.5</v>
      </c>
      <c r="AX213" s="4">
        <v>5.16</v>
      </c>
      <c r="AY213" s="12">
        <v>5.59</v>
      </c>
      <c r="AZ213" s="12">
        <v>6.32</v>
      </c>
      <c r="BA213" s="12">
        <v>5.84</v>
      </c>
      <c r="BB213" s="15">
        <v>5.55</v>
      </c>
      <c r="BC213" s="52">
        <v>5.97</v>
      </c>
      <c r="BD213" s="52">
        <v>5.83</v>
      </c>
      <c r="BE213" s="52">
        <v>6.09</v>
      </c>
      <c r="BF213" s="52">
        <v>5.41</v>
      </c>
      <c r="BG213" s="67">
        <v>4.9800000000000004</v>
      </c>
      <c r="BH213" s="52">
        <v>5</v>
      </c>
      <c r="BI213" s="52">
        <v>4.92</v>
      </c>
      <c r="BJ213" s="52">
        <v>3.92</v>
      </c>
      <c r="BK213" s="52">
        <v>4.9000000000000004</v>
      </c>
      <c r="BL213" s="52" cm="1">
        <f t="array" aca="1" ref="BL213" ca="1">_FV(EC213,"Preço")</f>
        <v>4.9000000000000004</v>
      </c>
      <c r="BM213" s="69" t="s">
        <v>209</v>
      </c>
      <c r="BN213" s="36" cm="1">
        <f t="array" aca="1" ref="BN213" ca="1">_FV(EC213,"Média de volume",TRUE)</f>
        <v>125600</v>
      </c>
      <c r="BO213" s="36">
        <v>143200</v>
      </c>
      <c r="BP213" s="36" cm="1">
        <f t="array" aca="1" ref="BP213" ca="1">_FV(EC213,"Volume")</f>
        <v>143200</v>
      </c>
      <c r="BQ213" s="24" cm="1">
        <f t="array" aca="1" ref="BQ213" ca="1">_FV(EC213,"Beta")</f>
        <v>0.87639999999999996</v>
      </c>
      <c r="BR213" s="71" cm="1">
        <f t="array" aca="1" ref="BR213" ca="1">_FV(EC213,"Variação (%)",TRUE)</f>
        <v>2.5104999999999999E-2</v>
      </c>
      <c r="BT213" s="17" cm="1">
        <f t="array" aca="1" ref="BT213" ca="1">_FV(EC213,"Baixo")</f>
        <v>4.55</v>
      </c>
      <c r="BU213" s="17" cm="1">
        <f t="array" aca="1" ref="BU213" ca="1">_FV(EC213,"Alto")</f>
        <v>5</v>
      </c>
      <c r="BV213" s="24"/>
      <c r="BW213" s="63" t="e">
        <f ca="1">SQRT(22.5*(BL213/VLOOKUP(BM213,Fundamentus!A:U,3,FALSE))*(BL213/VLOOKUP(BM213,Fundamentus!A:U,4,FALSE)))</f>
        <v>#NUM!</v>
      </c>
      <c r="BY213" s="62">
        <f t="shared" ca="1" si="241"/>
        <v>0</v>
      </c>
      <c r="BZ213" s="8"/>
      <c r="CA213" s="61">
        <f t="shared" si="242"/>
        <v>3.92</v>
      </c>
      <c r="CB213" s="61">
        <f t="shared" si="243"/>
        <v>16.13</v>
      </c>
      <c r="CC213" s="61">
        <f t="shared" si="244"/>
        <v>10.418650793650796</v>
      </c>
      <c r="CD213" s="14"/>
      <c r="CE213" s="35">
        <f t="shared" si="227"/>
        <v>3.7162485592449306</v>
      </c>
      <c r="CF213" s="15">
        <f t="shared" si="245"/>
        <v>4.6199999999998909</v>
      </c>
      <c r="CG213" s="35">
        <f t="shared" si="228"/>
        <v>5.5237514407548511</v>
      </c>
      <c r="CI213" s="14"/>
      <c r="CJ213" s="17">
        <f t="shared" si="229"/>
        <v>-12.360000000000001</v>
      </c>
      <c r="CK213" s="17">
        <f t="shared" si="230"/>
        <v>-4.22</v>
      </c>
      <c r="CL213" s="17">
        <f t="shared" si="231"/>
        <v>-0.15000000000000036</v>
      </c>
      <c r="CM213" s="38">
        <f t="shared" si="246"/>
        <v>7.9899999999999993</v>
      </c>
      <c r="CN213" s="17">
        <f t="shared" si="232"/>
        <v>12.059999999999999</v>
      </c>
      <c r="CO213" s="17">
        <f t="shared" si="233"/>
        <v>20.2</v>
      </c>
      <c r="CP213" s="17">
        <f t="shared" si="234"/>
        <v>24.269999999999996</v>
      </c>
      <c r="CQ213" s="2" cm="1">
        <f t="array" aca="1" ref="CQ213" ca="1">MAX(_xlfn._xlws.FILTER(CJ213:CP213,CJ213:CP213&lt;BL213))</f>
        <v>-0.15000000000000036</v>
      </c>
      <c r="CR213" s="2" cm="1">
        <f t="array" aca="1" ref="CR213" ca="1">MIN(_xlfn._xlws.FILTER($CJ213:$CP213,$CJ213:$CP213&gt;BL213))</f>
        <v>7.9899999999999993</v>
      </c>
      <c r="CS213" s="16">
        <f t="shared" ca="1" si="248"/>
        <v>-54.266666666666538</v>
      </c>
      <c r="CT213" s="20">
        <f t="shared" ca="1" si="249"/>
        <v>27.133333333333269</v>
      </c>
      <c r="CU213" s="20">
        <f t="shared" ca="1" si="250"/>
        <v>18.088888888888846</v>
      </c>
      <c r="CV213" s="20">
        <f t="shared" ca="1" si="251"/>
        <v>10.853333333333307</v>
      </c>
      <c r="CW213" s="20">
        <f t="shared" ca="1" si="252"/>
        <v>6.029629629629615</v>
      </c>
      <c r="CX213" s="20">
        <f t="shared" ca="1" si="253"/>
        <v>3.1921568627450903</v>
      </c>
      <c r="CY213" s="20">
        <f t="shared" ca="1" si="254"/>
        <v>1.6444444444444406</v>
      </c>
      <c r="CZ213" s="20">
        <f t="shared" ca="1" si="255"/>
        <v>0.83487179487179286</v>
      </c>
      <c r="DA213" s="21">
        <f t="shared" ca="1" si="256"/>
        <v>-0.83487179487179286</v>
      </c>
      <c r="DB213" s="21">
        <f t="shared" ca="1" si="257"/>
        <v>-1.6444444444444406</v>
      </c>
      <c r="DC213" s="21">
        <f t="shared" ca="1" si="258"/>
        <v>-3.1921568627450903</v>
      </c>
      <c r="DD213" s="21">
        <f t="shared" ca="1" si="259"/>
        <v>-6.029629629629615</v>
      </c>
      <c r="DE213" s="21">
        <f t="shared" ca="1" si="260"/>
        <v>-10.853333333333307</v>
      </c>
      <c r="DF213" s="21">
        <f t="shared" ca="1" si="261"/>
        <v>-18.088888888888846</v>
      </c>
      <c r="DG213" s="21">
        <f t="shared" ca="1" si="262"/>
        <v>-27.133333333333269</v>
      </c>
      <c r="DI213" s="16" cm="1">
        <f t="array" aca="1" ref="DI213" ca="1">MAX(_xlfn._xlws.FILTER(CT213:DG213,CT213:DG213&lt;BR213))</f>
        <v>-0.83487179487179286</v>
      </c>
      <c r="DJ213" s="16" cm="1">
        <f t="array" aca="1" ref="DJ213" ca="1">MIN(_xlfn._xlws.FILTER(CT213:DG213,CT213:DG213&gt;BR213))</f>
        <v>0.83487179487179286</v>
      </c>
      <c r="DK213" s="2" cm="1">
        <f t="array" aca="1" ref="DK213" ca="1">_FV(EC213,"Fechamento anterior",TRUE)</f>
        <v>4.78</v>
      </c>
      <c r="DL213" s="28">
        <f t="shared" ca="1" si="235"/>
        <v>0.5150350045747536</v>
      </c>
      <c r="DM213" s="15">
        <f t="shared" ca="1" si="263"/>
        <v>0.78931282051283036</v>
      </c>
      <c r="DN213" s="15">
        <f t="shared" ca="1" si="264"/>
        <v>8.7706871794871706</v>
      </c>
      <c r="DO213" s="9"/>
      <c r="DP213" s="9"/>
      <c r="DQ213" s="9"/>
      <c r="DR213" s="89">
        <v>3.2523036949756765E-2</v>
      </c>
      <c r="DS213" s="89">
        <v>0.18104323117515697</v>
      </c>
      <c r="DT213" s="89">
        <v>1.6697435897435857</v>
      </c>
      <c r="DU213" s="89">
        <v>1.6697435897435857</v>
      </c>
      <c r="DV213" s="89">
        <f t="shared" ca="1" si="236"/>
        <v>1.6697435897435857</v>
      </c>
      <c r="DW213" s="72">
        <f t="shared" ca="1" si="237"/>
        <v>0.30981969972430462</v>
      </c>
      <c r="DX213" s="37"/>
      <c r="DY213" s="35">
        <f t="shared" si="247"/>
        <v>0.45187572037748025</v>
      </c>
      <c r="DZ213" s="56"/>
      <c r="EA213" s="56"/>
      <c r="EC213" s="2" t="e" vm="215">
        <v>#VALUE!</v>
      </c>
      <c r="EE213" s="10" cm="1">
        <f t="array" aca="1" ref="EE213" ca="1">_FV(EC213,"Ações em circulação",TRUE)</f>
        <v>152359500</v>
      </c>
      <c r="EF213" s="18">
        <f>VLOOKUP(BM213,Fundamentus!A:U,5,FALSE)</f>
        <v>0.61</v>
      </c>
      <c r="EG213" s="2">
        <f t="shared" ca="1" si="238"/>
        <v>1223871393.4426229</v>
      </c>
      <c r="EH213" s="17">
        <v>-60581633.975409836</v>
      </c>
      <c r="EI213" s="17">
        <f t="shared" ca="1" si="239"/>
        <v>-60581633.975409836</v>
      </c>
      <c r="EK213" s="16">
        <f t="shared" ca="1" si="226"/>
        <v>0</v>
      </c>
      <c r="EL213" s="32" t="str">
        <f>IF(VLOOKUP(BM213,Fundamentus!A:U,3,FALSE)&lt;15,"Bom",IF(VLOOKUP(BM213,Fundamentus!A:U,3,FALSE)&gt;15,"Ruim","n/a"))</f>
        <v>Bom</v>
      </c>
      <c r="EM213" s="28" t="str">
        <f>IF(VLOOKUP(BM213,Fundamentus!A:U,4,FALSE)&lt;1,"Baixo",IF(VLOOKUP(BM213,Fundamentus!A:U,4,FALSE)&lt;1.5,"Moderado",IF(VLOOKUP(BM213,Fundamentus!A:U,4,FALSE)&gt;1.5,"Alto","n/a")))</f>
        <v>Baixo</v>
      </c>
      <c r="EN213" s="17" t="str">
        <f>IF(VLOOKUP(BM213,Fundamentus!A:U,8,FALSE)&lt;0,"Risco elevado",IF(VLOOKUP(BM213,Fundamentus!A:U,8,FALSE)&lt;1,"Saudável",IF(VLOOKUP(BM213,Fundamentus!A:U,8,FALSE)&lt;3,"Estável",IF(VLOOKUP(BM213,Fundamentus!A:U,8,FALSE)&gt;3,"Alerta","n/a"))))</f>
        <v>Risco elevado</v>
      </c>
      <c r="EO213" s="28" t="str">
        <f t="shared" si="240"/>
        <v>Ruim</v>
      </c>
      <c r="EP213" s="17" t="str">
        <f>IF(VLOOKUP(BM213,Fundamentus!A:U,12,FALSE)&lt;2,"Subvalorizada",IF(VLOOKUP(BM213,Fundamentus!A:U,12,FALSE)&lt;6,"Muita barata",IF(VLOOKUP(BM213,Fundamentus!A:U,12,FALSE)&lt;6,"Barata",IF(VLOOKUP(BM213,Fundamentus!A:U,12,FALSE)&lt;8,"Atrativa",IF(VLOOKUP(BM213,Fundamentus!A:U,12,FALSE)&gt;8,"Supervalorizada","n/a")))))</f>
        <v>Muita barata</v>
      </c>
      <c r="ER213" s="17" t="str">
        <f>IF(VLOOKUP(BM213,Fundamentus!A:U,17,FALSE)&lt;0.1,"Fraco retorno",IF(VLOOKUP(BM213,Fundamentus!A:U,17,FALSE)&gt;0.1,"Bom retorno","n/a"))</f>
        <v>Fraco retorno</v>
      </c>
      <c r="ES213" s="17" t="str">
        <f>IF(VLOOKUP(BM213,Fundamentus!A:U,16,FALSE)&lt;0.1,"Ineficiente",IF(VLOOKUP(BM213,Fundamentus!A:U,16,FALSE)&gt;0.1,"Eficiente","n/a"))</f>
        <v>Ineficiente</v>
      </c>
      <c r="ET213" s="33" t="str">
        <f>IF(VLOOKUP(BM213,Fundamentus!A:U,16,FALSE)&lt;0.1,"Oper. Ineficiente",IF(VLOOKUP(BM213,Fundamentus!A:U,16,FALSE)&gt;0.1,"Oper.Eficiente","n/a"))</f>
        <v>Oper. Ineficiente</v>
      </c>
      <c r="EU213" s="34">
        <f>VLOOKUP(BM213,Fundamentus!A:U,14,FALSE)</f>
        <v>-4.9500000000000002E-2</v>
      </c>
      <c r="EV213" s="17" t="str">
        <f>IF(VLOOKUP(BM213,Fundamentus!A:U,21,FALSE)&lt;0,"Negativo",IF(VLOOKUP(BM213,Fundamentus!A:U,21,FALSE)&lt;0.05,"Fraco",IF(VLOOKUP(BM213,Fundamentus!A:U,21,FALSE)&lt;0.1,"Bom",IF(VLOOKUP(BM213,Fundamentus!A:U,21,FALSE)&gt;0.1,"Muito bom","n/a"))))</f>
        <v>Bom</v>
      </c>
      <c r="EX213" s="29" t="str">
        <f>IF(VLOOKUP(BM213,Fundamentus!A:U,15,FALSE)&gt;1,"Bom",IF(VLOOKUP(BM213,Fundamentus!A:U,15,FALSE)&lt;1,"Ruim","n/a"))</f>
        <v>Ruim</v>
      </c>
      <c r="EY213" s="17" t="str">
        <f>IF(VLOOKUP(BM213,Fundamentus!A:U,20,FALSE)&lt;0.5,"Baixa",IF(VLOOKUP(BM213,Fundamentus!A:U,20,FALSE)&lt;1,"Moderada",IF(VLOOKUP(BM213,Fundamentus!A:U,20,FALSE)&lt;2,"Alerta",IF(VLOOKUP(BM213,Fundamentus!A:U,20,FALSE)&gt;2,"Alta","n/a"))))</f>
        <v>Moderada</v>
      </c>
    </row>
    <row r="214" spans="1:156" s="2" customFormat="1" ht="11.25" x14ac:dyDescent="0.2">
      <c r="A214" s="4">
        <v>2.87</v>
      </c>
      <c r="B214" s="4">
        <v>2.72</v>
      </c>
      <c r="C214" s="4">
        <v>2.56</v>
      </c>
      <c r="D214" s="4">
        <v>2.4300000000000002</v>
      </c>
      <c r="E214" s="4">
        <v>2.3199999999999998</v>
      </c>
      <c r="F214" s="4">
        <v>2.2200000000000002</v>
      </c>
      <c r="G214" s="4">
        <v>2.14</v>
      </c>
      <c r="H214" s="4">
        <v>2.06</v>
      </c>
      <c r="I214" s="4">
        <v>2.06</v>
      </c>
      <c r="J214" s="4">
        <v>2.2599999999999998</v>
      </c>
      <c r="K214" s="4">
        <v>2.33</v>
      </c>
      <c r="L214" s="4">
        <v>2.25</v>
      </c>
      <c r="M214" s="4">
        <v>2.2999999999999998</v>
      </c>
      <c r="N214" s="4">
        <v>2.2000000000000002</v>
      </c>
      <c r="O214" s="4">
        <v>2.33</v>
      </c>
      <c r="P214" s="4">
        <v>2.11</v>
      </c>
      <c r="Q214" s="4">
        <v>2.16</v>
      </c>
      <c r="R214" s="4">
        <v>2.0699999999999998</v>
      </c>
      <c r="S214" s="4">
        <v>2.0099999999999998</v>
      </c>
      <c r="T214" s="4">
        <v>2</v>
      </c>
      <c r="U214" s="4">
        <v>1.89</v>
      </c>
      <c r="V214" s="4">
        <v>1.9</v>
      </c>
      <c r="W214" s="4">
        <v>1.91</v>
      </c>
      <c r="X214" s="4">
        <v>1.86</v>
      </c>
      <c r="Y214" s="4">
        <v>1.87</v>
      </c>
      <c r="Z214" s="4">
        <v>1.81</v>
      </c>
      <c r="AA214" s="4">
        <v>1.8</v>
      </c>
      <c r="AB214" s="4">
        <v>1.82</v>
      </c>
      <c r="AC214" s="4">
        <v>1.8</v>
      </c>
      <c r="AD214" s="4">
        <v>1.76</v>
      </c>
      <c r="AE214" s="4">
        <v>1.6</v>
      </c>
      <c r="AF214" s="4">
        <v>1.53</v>
      </c>
      <c r="AG214" s="4">
        <v>1.49</v>
      </c>
      <c r="AH214" s="4">
        <v>1.4</v>
      </c>
      <c r="AI214" s="4">
        <v>1.38</v>
      </c>
      <c r="AJ214" s="4">
        <v>1.37</v>
      </c>
      <c r="AK214" s="4">
        <v>1.35</v>
      </c>
      <c r="AL214" s="4">
        <v>1.37</v>
      </c>
      <c r="AM214" s="4">
        <v>1.5</v>
      </c>
      <c r="AN214" s="4">
        <v>1.6</v>
      </c>
      <c r="AO214" s="4">
        <v>1.47</v>
      </c>
      <c r="AP214" s="4">
        <v>1.59</v>
      </c>
      <c r="AQ214" s="4">
        <v>1.62</v>
      </c>
      <c r="AR214" s="4">
        <v>1.46</v>
      </c>
      <c r="AS214" s="4">
        <v>1.52</v>
      </c>
      <c r="AT214" s="4">
        <v>1.71</v>
      </c>
      <c r="AU214" s="4">
        <v>1.73</v>
      </c>
      <c r="AV214" s="4">
        <v>1.82</v>
      </c>
      <c r="AW214" s="4">
        <v>1.8</v>
      </c>
      <c r="AX214" s="4">
        <v>1.7</v>
      </c>
      <c r="AY214" s="12">
        <v>1.99</v>
      </c>
      <c r="AZ214" s="12">
        <v>2.14</v>
      </c>
      <c r="BA214" s="12">
        <v>2.36</v>
      </c>
      <c r="BB214" s="15">
        <v>2.38</v>
      </c>
      <c r="BC214" s="52">
        <v>2.34</v>
      </c>
      <c r="BD214" s="52">
        <v>2.46</v>
      </c>
      <c r="BE214" s="52">
        <v>2.5499999999999998</v>
      </c>
      <c r="BF214" s="52">
        <v>2.78</v>
      </c>
      <c r="BG214" s="67">
        <v>2.79</v>
      </c>
      <c r="BH214" s="52">
        <v>2.76</v>
      </c>
      <c r="BI214" s="52">
        <v>2.4900000000000002</v>
      </c>
      <c r="BJ214" s="52">
        <v>2.29</v>
      </c>
      <c r="BK214" s="52">
        <v>2.23</v>
      </c>
      <c r="BL214" s="52" cm="1">
        <f t="array" aca="1" ref="BL214" ca="1">_FV(EC214,"Preço")</f>
        <v>2.23</v>
      </c>
      <c r="BM214" s="69" t="s">
        <v>210</v>
      </c>
      <c r="BN214" s="36" cm="1">
        <f t="array" aca="1" ref="BN214" ca="1">_FV(EC214,"Média de volume",TRUE)</f>
        <v>1929790</v>
      </c>
      <c r="BO214" s="36">
        <v>2382400</v>
      </c>
      <c r="BP214" s="36" cm="1">
        <f t="array" aca="1" ref="BP214" ca="1">_FV(EC214,"Volume")</f>
        <v>2382400</v>
      </c>
      <c r="BQ214" s="24" cm="1">
        <f t="array" aca="1" ref="BQ214" ca="1">_FV(EC214,"Beta")</f>
        <v>2.1152000000000002</v>
      </c>
      <c r="BR214" s="71" cm="1">
        <f t="array" aca="1" ref="BR214" ca="1">_FV(EC214,"Variação (%)",TRUE)</f>
        <v>9.8521999999999998E-2</v>
      </c>
      <c r="BT214" s="17" cm="1">
        <f t="array" aca="1" ref="BT214" ca="1">_FV(EC214,"Baixo")</f>
        <v>1.98</v>
      </c>
      <c r="BU214" s="17" cm="1">
        <f t="array" aca="1" ref="BU214" ca="1">_FV(EC214,"Alto")</f>
        <v>2.2400000000000002</v>
      </c>
      <c r="BV214" s="24"/>
      <c r="BW214" s="63">
        <f ca="1">SQRT(22.5*(BL214/VLOOKUP(BM214,Fundamentus!A:U,3,FALSE))*(BL214/VLOOKUP(BM214,Fundamentus!A:U,4,FALSE)))</f>
        <v>8.1118623768459734</v>
      </c>
      <c r="BY214" s="62">
        <f t="shared" ca="1" si="241"/>
        <v>0</v>
      </c>
      <c r="BZ214" s="8"/>
      <c r="CA214" s="61">
        <f t="shared" si="242"/>
        <v>1.35</v>
      </c>
      <c r="CB214" s="61">
        <f t="shared" si="243"/>
        <v>2.87</v>
      </c>
      <c r="CC214" s="61">
        <f t="shared" si="244"/>
        <v>2.0061904761904756</v>
      </c>
      <c r="CD214" s="14"/>
      <c r="CE214" s="35">
        <f t="shared" si="227"/>
        <v>1.8854294467974262</v>
      </c>
      <c r="CF214" s="15">
        <f t="shared" si="245"/>
        <v>2.3530000000000655</v>
      </c>
      <c r="CG214" s="35">
        <f t="shared" si="228"/>
        <v>2.8205705532027046</v>
      </c>
      <c r="CI214" s="14"/>
      <c r="CJ214" s="17">
        <f t="shared" si="229"/>
        <v>-4.9999999999999378E-2</v>
      </c>
      <c r="CK214" s="17">
        <f t="shared" si="230"/>
        <v>0.65000000000000036</v>
      </c>
      <c r="CL214" s="17">
        <f t="shared" si="231"/>
        <v>1.4700000000000006</v>
      </c>
      <c r="CM214" s="38">
        <f t="shared" si="246"/>
        <v>2.1700000000000004</v>
      </c>
      <c r="CN214" s="17">
        <f t="shared" si="232"/>
        <v>2.9900000000000007</v>
      </c>
      <c r="CO214" s="17">
        <f t="shared" si="233"/>
        <v>3.6900000000000004</v>
      </c>
      <c r="CP214" s="17">
        <f t="shared" si="234"/>
        <v>4.5100000000000007</v>
      </c>
      <c r="CQ214" s="2" cm="1">
        <f t="array" aca="1" ref="CQ214" ca="1">MAX(_xlfn._xlws.FILTER(CJ214:CP214,CJ214:CP214&lt;BL214))</f>
        <v>2.1700000000000004</v>
      </c>
      <c r="CR214" s="2" cm="1">
        <f t="array" aca="1" ref="CR214" ca="1">MIN(_xlfn._xlws.FILTER($CJ214:$CP214,$CJ214:$CP214&gt;BL214))</f>
        <v>2.9900000000000007</v>
      </c>
      <c r="CS214" s="16">
        <f t="shared" ca="1" si="248"/>
        <v>0.37788018433179738</v>
      </c>
      <c r="CT214" s="20">
        <f t="shared" ca="1" si="249"/>
        <v>-0.18894009216589869</v>
      </c>
      <c r="CU214" s="20">
        <f t="shared" ca="1" si="250"/>
        <v>-0.12596006144393246</v>
      </c>
      <c r="CV214" s="20">
        <f t="shared" ca="1" si="251"/>
        <v>-7.5576036866359469E-2</v>
      </c>
      <c r="CW214" s="20">
        <f t="shared" ca="1" si="252"/>
        <v>-4.1986687147977486E-2</v>
      </c>
      <c r="CX214" s="20">
        <f t="shared" ca="1" si="253"/>
        <v>-2.2228246137164551E-2</v>
      </c>
      <c r="CY214" s="20">
        <f t="shared" ca="1" si="254"/>
        <v>-1.1450914676721132E-2</v>
      </c>
      <c r="CZ214" s="20">
        <f t="shared" ca="1" si="255"/>
        <v>-5.8135412974122669E-3</v>
      </c>
      <c r="DA214" s="21">
        <f t="shared" ca="1" si="256"/>
        <v>5.8135412974122669E-3</v>
      </c>
      <c r="DB214" s="21">
        <f t="shared" ca="1" si="257"/>
        <v>1.1450914676721132E-2</v>
      </c>
      <c r="DC214" s="21">
        <f t="shared" ca="1" si="258"/>
        <v>2.2228246137164551E-2</v>
      </c>
      <c r="DD214" s="21">
        <f t="shared" ca="1" si="259"/>
        <v>4.1986687147977486E-2</v>
      </c>
      <c r="DE214" s="21">
        <f t="shared" ca="1" si="260"/>
        <v>7.5576036866359469E-2</v>
      </c>
      <c r="DF214" s="21">
        <f t="shared" ca="1" si="261"/>
        <v>0.12596006144393246</v>
      </c>
      <c r="DG214" s="21">
        <f t="shared" ca="1" si="262"/>
        <v>0.18894009216589869</v>
      </c>
      <c r="DI214" s="16" cm="1">
        <f t="array" aca="1" ref="DI214" ca="1">MAX(_xlfn._xlws.FILTER(CT214:DG214,CT214:DG214&lt;BR214))</f>
        <v>7.5576036866359469E-2</v>
      </c>
      <c r="DJ214" s="16" cm="1">
        <f t="array" aca="1" ref="DJ214" ca="1">MIN(_xlfn._xlws.FILTER(CT214:DG214,CT214:DG214&gt;BR214))</f>
        <v>0.12596006144393246</v>
      </c>
      <c r="DK214" s="2" cm="1">
        <f t="array" aca="1" ref="DK214" ca="1">_FV(EC214,"Fechamento anterior",TRUE)</f>
        <v>2.0299999999999998</v>
      </c>
      <c r="DL214" s="28">
        <f t="shared" ca="1" si="235"/>
        <v>0.45542472666106176</v>
      </c>
      <c r="DM214" s="15">
        <f t="shared" ca="1" si="263"/>
        <v>2.1834193548387093</v>
      </c>
      <c r="DN214" s="15">
        <f t="shared" ca="1" si="264"/>
        <v>2.2856989247311827</v>
      </c>
      <c r="DO214" s="9"/>
      <c r="DP214" s="9"/>
      <c r="DQ214" s="9"/>
      <c r="DR214" s="89">
        <v>1.3193012910925464E-2</v>
      </c>
      <c r="DS214" s="89">
        <v>3.7533682041527974E-2</v>
      </c>
      <c r="DT214" s="89">
        <v>1.9758441010812935E-2</v>
      </c>
      <c r="DU214" s="89">
        <v>5.0384024577572989E-2</v>
      </c>
      <c r="DV214" s="89">
        <f t="shared" ca="1" si="236"/>
        <v>5.0384024577572989E-2</v>
      </c>
      <c r="DW214" s="72">
        <f t="shared" ca="1" si="237"/>
        <v>-0.26306190404330021</v>
      </c>
      <c r="DX214" s="37"/>
      <c r="DY214" s="35">
        <f t="shared" si="247"/>
        <v>0.23378527660131962</v>
      </c>
      <c r="DZ214" s="56"/>
      <c r="EA214" s="56"/>
      <c r="EC214" s="2" t="e" vm="216">
        <v>#VALUE!</v>
      </c>
      <c r="EE214" s="10" cm="1">
        <f t="array" aca="1" ref="EE214" ca="1">_FV(EC214,"Ações em circulação",TRUE)</f>
        <v>133851100</v>
      </c>
      <c r="EF214" s="18">
        <f>VLOOKUP(BM214,Fundamentus!A:U,5,FALSE)</f>
        <v>0.29299999999999998</v>
      </c>
      <c r="EG214" s="2">
        <f t="shared" ca="1" si="238"/>
        <v>1018730215.0170649</v>
      </c>
      <c r="EH214" s="17">
        <v>132333054.93071672</v>
      </c>
      <c r="EI214" s="17">
        <f t="shared" ca="1" si="239"/>
        <v>132333054.93071672</v>
      </c>
      <c r="EK214" s="16">
        <f t="shared" ca="1" si="226"/>
        <v>0</v>
      </c>
      <c r="EL214" s="32" t="str">
        <f>IF(VLOOKUP(BM214,Fundamentus!A:U,3,FALSE)&lt;15,"Bom",IF(VLOOKUP(BM214,Fundamentus!A:U,3,FALSE)&gt;15,"Ruim","n/a"))</f>
        <v>Bom</v>
      </c>
      <c r="EM214" s="28" t="str">
        <f>IF(VLOOKUP(BM214,Fundamentus!A:U,4,FALSE)&lt;1,"Baixo",IF(VLOOKUP(BM214,Fundamentus!A:U,4,FALSE)&lt;1.5,"Moderado",IF(VLOOKUP(BM214,Fundamentus!A:U,4,FALSE)&gt;1.5,"Alto","n/a")))</f>
        <v>Baixo</v>
      </c>
      <c r="EN214" s="17" t="str">
        <f>IF(VLOOKUP(BM214,Fundamentus!A:U,8,FALSE)&lt;0,"Risco elevado",IF(VLOOKUP(BM214,Fundamentus!A:U,8,FALSE)&lt;1,"Saudável",IF(VLOOKUP(BM214,Fundamentus!A:U,8,FALSE)&lt;3,"Estável",IF(VLOOKUP(BM214,Fundamentus!A:U,8,FALSE)&gt;3,"Alerta","n/a"))))</f>
        <v>Saudável</v>
      </c>
      <c r="EO214" s="28" t="str">
        <f t="shared" si="240"/>
        <v>Ruim</v>
      </c>
      <c r="EP214" s="17" t="str">
        <f>IF(VLOOKUP(BM214,Fundamentus!A:U,12,FALSE)&lt;2,"Subvalorizada",IF(VLOOKUP(BM214,Fundamentus!A:U,12,FALSE)&lt;6,"Muita barata",IF(VLOOKUP(BM214,Fundamentus!A:U,12,FALSE)&lt;6,"Barata",IF(VLOOKUP(BM214,Fundamentus!A:U,12,FALSE)&lt;8,"Atrativa",IF(VLOOKUP(BM214,Fundamentus!A:U,12,FALSE)&gt;8,"Supervalorizada","n/a")))))</f>
        <v>Atrativa</v>
      </c>
      <c r="ER214" s="17" t="str">
        <f>IF(VLOOKUP(BM214,Fundamentus!A:U,17,FALSE)&lt;0.1,"Fraco retorno",IF(VLOOKUP(BM214,Fundamentus!A:U,17,FALSE)&gt;0.1,"Bom retorno","n/a"))</f>
        <v>Fraco retorno</v>
      </c>
      <c r="ES214" s="17" t="str">
        <f>IF(VLOOKUP(BM214,Fundamentus!A:U,16,FALSE)&lt;0.1,"Ineficiente",IF(VLOOKUP(BM214,Fundamentus!A:U,16,FALSE)&gt;0.1,"Eficiente","n/a"))</f>
        <v>Ineficiente</v>
      </c>
      <c r="ET214" s="33" t="str">
        <f>IF(VLOOKUP(BM214,Fundamentus!A:U,16,FALSE)&lt;0.1,"Oper. Ineficiente",IF(VLOOKUP(BM214,Fundamentus!A:U,16,FALSE)&gt;0.1,"Oper.Eficiente","n/a"))</f>
        <v>Oper. Ineficiente</v>
      </c>
      <c r="EU214" s="34">
        <f>VLOOKUP(BM214,Fundamentus!A:U,14,FALSE)</f>
        <v>0.12989999999999999</v>
      </c>
      <c r="EV214" s="17" t="str">
        <f>IF(VLOOKUP(BM214,Fundamentus!A:U,21,FALSE)&lt;0,"Negativo",IF(VLOOKUP(BM214,Fundamentus!A:U,21,FALSE)&lt;0.05,"Fraco",IF(VLOOKUP(BM214,Fundamentus!A:U,21,FALSE)&lt;0.1,"Bom",IF(VLOOKUP(BM214,Fundamentus!A:U,21,FALSE)&gt;0.1,"Muito bom","n/a"))))</f>
        <v>Bom</v>
      </c>
      <c r="EX214" s="29" t="str">
        <f>IF(VLOOKUP(BM214,Fundamentus!A:U,15,FALSE)&gt;1,"Bom",IF(VLOOKUP(BM214,Fundamentus!A:U,15,FALSE)&lt;1,"Ruim","n/a"))</f>
        <v>Bom</v>
      </c>
      <c r="EY214" s="17" t="str">
        <f>IF(VLOOKUP(BM214,Fundamentus!A:U,20,FALSE)&lt;0.5,"Baixa",IF(VLOOKUP(BM214,Fundamentus!A:U,20,FALSE)&lt;1,"Moderada",IF(VLOOKUP(BM214,Fundamentus!A:U,20,FALSE)&lt;2,"Alerta",IF(VLOOKUP(BM214,Fundamentus!A:U,20,FALSE)&gt;2,"Alta","n/a"))))</f>
        <v>Alerta</v>
      </c>
    </row>
    <row r="215" spans="1:156" s="2" customFormat="1" ht="11.25" x14ac:dyDescent="0.2">
      <c r="A215" s="4">
        <v>29.91</v>
      </c>
      <c r="B215" s="4">
        <v>30.67</v>
      </c>
      <c r="C215" s="4">
        <v>32.47</v>
      </c>
      <c r="D215" s="4">
        <v>29.82</v>
      </c>
      <c r="E215" s="4">
        <v>30</v>
      </c>
      <c r="F215" s="4">
        <v>29.8</v>
      </c>
      <c r="G215" s="4">
        <v>29.51</v>
      </c>
      <c r="H215" s="4">
        <v>29.49</v>
      </c>
      <c r="I215" s="4">
        <v>29.41</v>
      </c>
      <c r="J215" s="4">
        <v>29.32</v>
      </c>
      <c r="K215" s="4">
        <v>29.4</v>
      </c>
      <c r="L215" s="4">
        <v>30.25</v>
      </c>
      <c r="M215" s="4">
        <v>29.01</v>
      </c>
      <c r="N215" s="4">
        <v>29.19</v>
      </c>
      <c r="O215" s="4">
        <v>29.3</v>
      </c>
      <c r="P215" s="4">
        <v>28.79</v>
      </c>
      <c r="Q215" s="4">
        <v>28.51</v>
      </c>
      <c r="R215" s="4">
        <v>28.98</v>
      </c>
      <c r="S215" s="4">
        <v>28.69</v>
      </c>
      <c r="T215" s="4">
        <v>29.19</v>
      </c>
      <c r="U215" s="4">
        <v>28.11</v>
      </c>
      <c r="V215" s="4">
        <v>26.61</v>
      </c>
      <c r="W215" s="4">
        <v>26.3</v>
      </c>
      <c r="X215" s="4">
        <v>25.5</v>
      </c>
      <c r="Y215" s="4">
        <v>25.12</v>
      </c>
      <c r="Z215" s="4">
        <v>25.09</v>
      </c>
      <c r="AA215" s="4">
        <v>24.75</v>
      </c>
      <c r="AB215" s="4">
        <v>24.6</v>
      </c>
      <c r="AC215" s="4">
        <v>24.5</v>
      </c>
      <c r="AD215" s="4">
        <v>22.57</v>
      </c>
      <c r="AE215" s="4">
        <v>22.13</v>
      </c>
      <c r="AF215" s="4">
        <v>22.25</v>
      </c>
      <c r="AG215" s="4">
        <v>21.45</v>
      </c>
      <c r="AH215" s="4">
        <v>20.94</v>
      </c>
      <c r="AI215" s="4">
        <v>20.85</v>
      </c>
      <c r="AJ215" s="4">
        <v>19.899999999999999</v>
      </c>
      <c r="AK215" s="4">
        <v>19.899999999999999</v>
      </c>
      <c r="AL215" s="4">
        <v>19.38</v>
      </c>
      <c r="AM215" s="4">
        <v>19.010000000000002</v>
      </c>
      <c r="AN215" s="4">
        <v>20.059999999999999</v>
      </c>
      <c r="AO215" s="4">
        <v>19.75</v>
      </c>
      <c r="AP215" s="4">
        <v>19.21</v>
      </c>
      <c r="AQ215" s="4">
        <v>19.48</v>
      </c>
      <c r="AR215" s="4">
        <v>19.18</v>
      </c>
      <c r="AS215" s="4">
        <v>18.55</v>
      </c>
      <c r="AT215" s="4">
        <v>18.68</v>
      </c>
      <c r="AU215" s="4">
        <v>18.704999999999998</v>
      </c>
      <c r="AV215" s="4">
        <v>18.989999999999998</v>
      </c>
      <c r="AW215" s="4">
        <v>18.510000000000002</v>
      </c>
      <c r="AX215" s="4">
        <v>18.05</v>
      </c>
      <c r="AY215" s="12">
        <v>19</v>
      </c>
      <c r="AZ215" s="12">
        <v>21.49</v>
      </c>
      <c r="BA215" s="12">
        <v>21.15</v>
      </c>
      <c r="BB215" s="15">
        <v>20.97</v>
      </c>
      <c r="BC215" s="52">
        <v>21.05</v>
      </c>
      <c r="BD215" s="52">
        <v>20.69</v>
      </c>
      <c r="BE215" s="52">
        <v>21.99</v>
      </c>
      <c r="BF215" s="52">
        <v>20.59</v>
      </c>
      <c r="BG215" s="67">
        <v>19.14</v>
      </c>
      <c r="BH215" s="52">
        <v>18.98</v>
      </c>
      <c r="BI215" s="52">
        <v>17.510000000000002</v>
      </c>
      <c r="BJ215" s="52">
        <v>16.170000000000002</v>
      </c>
      <c r="BK215" s="52">
        <v>16.059999999999999</v>
      </c>
      <c r="BL215" s="52" cm="1">
        <f t="array" aca="1" ref="BL215" ca="1">_FV(EC215,"Preço")</f>
        <v>16.059999999999999</v>
      </c>
      <c r="BM215" s="69" t="s">
        <v>211</v>
      </c>
      <c r="BN215" s="36" cm="1">
        <f t="array" aca="1" ref="BN215" ca="1">_FV(EC215,"Média de volume",TRUE)</f>
        <v>3430</v>
      </c>
      <c r="BO215" s="36">
        <v>2600</v>
      </c>
      <c r="BP215" s="36" cm="1">
        <f t="array" aca="1" ref="BP215" ca="1">_FV(EC215,"Volume")</f>
        <v>2600</v>
      </c>
      <c r="BQ215" s="24" cm="1">
        <f t="array" aca="1" ref="BQ215" ca="1">_FV(EC215,"Beta")</f>
        <v>0.82179999999999997</v>
      </c>
      <c r="BR215" s="71" cm="1">
        <f t="array" aca="1" ref="BR215" ca="1">_FV(EC215,"Variação (%)",TRUE)</f>
        <v>6.2310000000000002E-4</v>
      </c>
      <c r="BT215" s="17" cm="1">
        <f t="array" aca="1" ref="BT215" ca="1">_FV(EC215,"Baixo")</f>
        <v>15.95</v>
      </c>
      <c r="BU215" s="17" cm="1">
        <f t="array" aca="1" ref="BU215" ca="1">_FV(EC215,"Alto")</f>
        <v>16.059999999999999</v>
      </c>
      <c r="BV215" s="24"/>
      <c r="BW215" s="63" t="e">
        <f ca="1">SQRT(22.5*(BL215/VLOOKUP(BM215,Fundamentus!A:U,3,FALSE))*(BL215/VLOOKUP(BM215,Fundamentus!A:U,4,FALSE)))</f>
        <v>#NUM!</v>
      </c>
      <c r="BY215" s="62">
        <f t="shared" ca="1" si="241"/>
        <v>0</v>
      </c>
      <c r="BZ215" s="8"/>
      <c r="CA215" s="61">
        <f t="shared" si="242"/>
        <v>16.059999999999999</v>
      </c>
      <c r="CB215" s="61">
        <f t="shared" si="243"/>
        <v>32.47</v>
      </c>
      <c r="CC215" s="61">
        <f t="shared" si="244"/>
        <v>23.724206349206355</v>
      </c>
      <c r="CD215" s="14"/>
      <c r="CE215" s="35">
        <f t="shared" si="227"/>
        <v>13.379857109826727</v>
      </c>
      <c r="CF215" s="15">
        <f t="shared" si="245"/>
        <v>16.675000000001091</v>
      </c>
      <c r="CG215" s="35">
        <f t="shared" si="228"/>
        <v>19.970142890175456</v>
      </c>
      <c r="CI215" s="14"/>
      <c r="CJ215" s="17">
        <f t="shared" si="229"/>
        <v>-5.7466666666666661</v>
      </c>
      <c r="CK215" s="17">
        <f t="shared" si="230"/>
        <v>5.1566666666666663</v>
      </c>
      <c r="CL215" s="17">
        <f t="shared" si="231"/>
        <v>10.663333333333334</v>
      </c>
      <c r="CM215" s="38">
        <f t="shared" si="246"/>
        <v>21.566666666666666</v>
      </c>
      <c r="CN215" s="17">
        <f t="shared" si="232"/>
        <v>27.073333333333334</v>
      </c>
      <c r="CO215" s="17">
        <f t="shared" si="233"/>
        <v>37.976666666666667</v>
      </c>
      <c r="CP215" s="17">
        <f t="shared" si="234"/>
        <v>43.483333333333334</v>
      </c>
      <c r="CQ215" s="2" cm="1">
        <f t="array" aca="1" ref="CQ215" ca="1">MAX(_xlfn._xlws.FILTER(CJ215:CP215,CJ215:CP215&lt;BL215))</f>
        <v>10.663333333333334</v>
      </c>
      <c r="CR215" s="2" cm="1">
        <f t="array" aca="1" ref="CR215" ca="1">MIN(_xlfn._xlws.FILTER($CJ215:$CP215,$CJ215:$CP215&gt;BL215))</f>
        <v>21.566666666666666</v>
      </c>
      <c r="CS215" s="16">
        <f t="shared" ca="1" si="248"/>
        <v>1.0225070334479525</v>
      </c>
      <c r="CT215" s="20">
        <f t="shared" ca="1" si="249"/>
        <v>-0.51125351672397623</v>
      </c>
      <c r="CU215" s="20">
        <f t="shared" ca="1" si="250"/>
        <v>-0.34083567781598417</v>
      </c>
      <c r="CV215" s="20">
        <f t="shared" ca="1" si="251"/>
        <v>-0.20450140668959049</v>
      </c>
      <c r="CW215" s="20">
        <f t="shared" ca="1" si="252"/>
        <v>-0.11361189260532806</v>
      </c>
      <c r="CX215" s="20">
        <f t="shared" ca="1" si="253"/>
        <v>-6.0147472555761909E-2</v>
      </c>
      <c r="CY215" s="20">
        <f t="shared" ca="1" si="254"/>
        <v>-3.0985061619634924E-2</v>
      </c>
      <c r="CZ215" s="20">
        <f t="shared" ca="1" si="255"/>
        <v>-1.5730877437660808E-2</v>
      </c>
      <c r="DA215" s="21">
        <f t="shared" ca="1" si="256"/>
        <v>1.5730877437660808E-2</v>
      </c>
      <c r="DB215" s="21">
        <f t="shared" ca="1" si="257"/>
        <v>3.0985061619634924E-2</v>
      </c>
      <c r="DC215" s="21">
        <f t="shared" ca="1" si="258"/>
        <v>6.0147472555761909E-2</v>
      </c>
      <c r="DD215" s="21">
        <f t="shared" ca="1" si="259"/>
        <v>0.11361189260532806</v>
      </c>
      <c r="DE215" s="21">
        <f t="shared" ca="1" si="260"/>
        <v>0.20450140668959049</v>
      </c>
      <c r="DF215" s="21">
        <f t="shared" ca="1" si="261"/>
        <v>0.34083567781598417</v>
      </c>
      <c r="DG215" s="21">
        <f t="shared" ca="1" si="262"/>
        <v>0.51125351672397623</v>
      </c>
      <c r="DI215" s="16" cm="1">
        <f t="array" aca="1" ref="DI215" ca="1">MAX(_xlfn._xlws.FILTER(CT215:DG215,CT215:DG215&lt;BR215))</f>
        <v>-1.5730877437660808E-2</v>
      </c>
      <c r="DJ215" s="16" cm="1">
        <f t="array" aca="1" ref="DJ215" ca="1">MIN(_xlfn._xlws.FILTER(CT215:DG215,CT215:DG215&gt;BR215))</f>
        <v>1.5730877437660808E-2</v>
      </c>
      <c r="DK215" s="2" cm="1">
        <f t="array" aca="1" ref="DK215" ca="1">_FV(EC215,"Fechamento anterior",TRUE)</f>
        <v>16.05</v>
      </c>
      <c r="DL215" s="28">
        <f t="shared" ca="1" si="235"/>
        <v>0.51980350307764323</v>
      </c>
      <c r="DM215" s="15">
        <f t="shared" ca="1" si="263"/>
        <v>15.797519417125544</v>
      </c>
      <c r="DN215" s="15">
        <f t="shared" ca="1" si="264"/>
        <v>16.302480582874455</v>
      </c>
      <c r="DO215" s="9"/>
      <c r="DP215" s="9"/>
      <c r="DQ215" s="9"/>
      <c r="DR215" s="89">
        <v>2.0164614381962331E-2</v>
      </c>
      <c r="DS215" s="89">
        <v>1.888436769905464E-2</v>
      </c>
      <c r="DT215" s="89">
        <v>3.1141785876340346E-2</v>
      </c>
      <c r="DU215" s="89">
        <v>3.1141785876340346E-2</v>
      </c>
      <c r="DV215" s="89">
        <f t="shared" ca="1" si="236"/>
        <v>3.1461754875321615E-2</v>
      </c>
      <c r="DW215" s="72">
        <f t="shared" ca="1" si="237"/>
        <v>-0.1866383402780295</v>
      </c>
      <c r="DX215" s="37"/>
      <c r="DY215" s="35">
        <f t="shared" si="247"/>
        <v>1.6475714450871823</v>
      </c>
      <c r="DZ215" s="56"/>
      <c r="EA215" s="56"/>
      <c r="EC215" s="2" t="e" vm="217">
        <v>#VALUE!</v>
      </c>
      <c r="EE215" s="10" cm="1">
        <f t="array" aca="1" ref="EE215" ca="1">_FV(EC215,"Ações em circulação",TRUE)</f>
        <v>29018750</v>
      </c>
      <c r="EF215" s="18">
        <f>VLOOKUP(BM215,Fundamentus!A:U,5,FALSE)</f>
        <v>0.78</v>
      </c>
      <c r="EG215" s="2">
        <f t="shared" ca="1" si="238"/>
        <v>597488621.79487169</v>
      </c>
      <c r="EH215" s="17">
        <v>-98645371.458333313</v>
      </c>
      <c r="EI215" s="17">
        <f t="shared" ca="1" si="239"/>
        <v>-98645371.458333313</v>
      </c>
      <c r="EK215" s="16">
        <f t="shared" ca="1" si="226"/>
        <v>0</v>
      </c>
      <c r="EL215" s="32" t="str">
        <f>IF(VLOOKUP(BM215,Fundamentus!A:U,3,FALSE)&lt;15,"Bom",IF(VLOOKUP(BM215,Fundamentus!A:U,3,FALSE)&gt;15,"Ruim","n/a"))</f>
        <v>Bom</v>
      </c>
      <c r="EM215" s="28" t="str">
        <f>IF(VLOOKUP(BM215,Fundamentus!A:U,4,FALSE)&lt;1,"Baixo",IF(VLOOKUP(BM215,Fundamentus!A:U,4,FALSE)&lt;1.5,"Moderado",IF(VLOOKUP(BM215,Fundamentus!A:U,4,FALSE)&gt;1.5,"Alto","n/a")))</f>
        <v>Baixo</v>
      </c>
      <c r="EN215" s="17" t="str">
        <f>IF(VLOOKUP(BM215,Fundamentus!A:U,8,FALSE)&lt;0,"Risco elevado",IF(VLOOKUP(BM215,Fundamentus!A:U,8,FALSE)&lt;1,"Saudável",IF(VLOOKUP(BM215,Fundamentus!A:U,8,FALSE)&lt;3,"Estável",IF(VLOOKUP(BM215,Fundamentus!A:U,8,FALSE)&gt;3,"Alerta","n/a"))))</f>
        <v>Estável</v>
      </c>
      <c r="EO215" s="28" t="str">
        <f t="shared" si="240"/>
        <v>Ruim</v>
      </c>
      <c r="EP215" s="17" t="str">
        <f>IF(VLOOKUP(BM215,Fundamentus!A:U,12,FALSE)&lt;2,"Subvalorizada",IF(VLOOKUP(BM215,Fundamentus!A:U,12,FALSE)&lt;6,"Muita barata",IF(VLOOKUP(BM215,Fundamentus!A:U,12,FALSE)&lt;6,"Barata",IF(VLOOKUP(BM215,Fundamentus!A:U,12,FALSE)&lt;8,"Atrativa",IF(VLOOKUP(BM215,Fundamentus!A:U,12,FALSE)&gt;8,"Supervalorizada","n/a")))))</f>
        <v>Subvalorizada</v>
      </c>
      <c r="ER215" s="17" t="str">
        <f>IF(VLOOKUP(BM215,Fundamentus!A:U,17,FALSE)&lt;0.1,"Fraco retorno",IF(VLOOKUP(BM215,Fundamentus!A:U,17,FALSE)&gt;0.1,"Bom retorno","n/a"))</f>
        <v>Fraco retorno</v>
      </c>
      <c r="ES215" s="17" t="str">
        <f>IF(VLOOKUP(BM215,Fundamentus!A:U,16,FALSE)&lt;0.1,"Ineficiente",IF(VLOOKUP(BM215,Fundamentus!A:U,16,FALSE)&gt;0.1,"Eficiente","n/a"))</f>
        <v>Ineficiente</v>
      </c>
      <c r="ET215" s="33" t="str">
        <f>IF(VLOOKUP(BM215,Fundamentus!A:U,16,FALSE)&lt;0.1,"Oper. Ineficiente",IF(VLOOKUP(BM215,Fundamentus!A:U,16,FALSE)&gt;0.1,"Oper.Eficiente","n/a"))</f>
        <v>Oper. Ineficiente</v>
      </c>
      <c r="EU215" s="34">
        <f>VLOOKUP(BM215,Fundamentus!A:U,14,FALSE)</f>
        <v>-0.1651</v>
      </c>
      <c r="EV215" s="17" t="str">
        <f>IF(VLOOKUP(BM215,Fundamentus!A:U,21,FALSE)&lt;0,"Negativo",IF(VLOOKUP(BM215,Fundamentus!A:U,21,FALSE)&lt;0.05,"Fraco",IF(VLOOKUP(BM215,Fundamentus!A:U,21,FALSE)&lt;0.1,"Bom",IF(VLOOKUP(BM215,Fundamentus!A:U,21,FALSE)&gt;0.1,"Muito bom","n/a"))))</f>
        <v>Negativo</v>
      </c>
      <c r="EX215" s="29" t="str">
        <f>IF(VLOOKUP(BM215,Fundamentus!A:U,15,FALSE)&gt;1,"Bom",IF(VLOOKUP(BM215,Fundamentus!A:U,15,FALSE)&lt;1,"Ruim","n/a"))</f>
        <v>Bom</v>
      </c>
      <c r="EY215" s="17" t="str">
        <f>IF(VLOOKUP(BM215,Fundamentus!A:U,20,FALSE)&lt;0.5,"Baixa",IF(VLOOKUP(BM215,Fundamentus!A:U,20,FALSE)&lt;1,"Moderada",IF(VLOOKUP(BM215,Fundamentus!A:U,20,FALSE)&lt;2,"Alerta",IF(VLOOKUP(BM215,Fundamentus!A:U,20,FALSE)&gt;2,"Alta","n/a"))))</f>
        <v>Baixa</v>
      </c>
    </row>
    <row r="216" spans="1:156" s="2" customFormat="1" ht="11.25" x14ac:dyDescent="0.2">
      <c r="A216" s="4">
        <v>41</v>
      </c>
      <c r="B216" s="4">
        <v>41</v>
      </c>
      <c r="C216" s="4">
        <v>39.49</v>
      </c>
      <c r="D216" s="4">
        <v>38.25</v>
      </c>
      <c r="E216" s="4">
        <v>35.65</v>
      </c>
      <c r="F216" s="4">
        <v>35.799999999999997</v>
      </c>
      <c r="G216" s="4">
        <v>35.71</v>
      </c>
      <c r="H216" s="4">
        <v>35</v>
      </c>
      <c r="I216" s="4">
        <v>35.75</v>
      </c>
      <c r="J216" s="4">
        <v>39.880000000000003</v>
      </c>
      <c r="K216" s="4">
        <v>41.69</v>
      </c>
      <c r="L216" s="4">
        <v>40.299999999999997</v>
      </c>
      <c r="M216" s="4">
        <v>38.25</v>
      </c>
      <c r="N216" s="4">
        <v>36.4</v>
      </c>
      <c r="O216" s="4">
        <v>35.08</v>
      </c>
      <c r="P216" s="4">
        <v>36.28</v>
      </c>
      <c r="Q216" s="4">
        <v>36.57</v>
      </c>
      <c r="R216" s="4">
        <v>35.01</v>
      </c>
      <c r="S216" s="4">
        <v>36.06</v>
      </c>
      <c r="T216" s="4">
        <v>37.96</v>
      </c>
      <c r="U216" s="4">
        <v>36</v>
      </c>
      <c r="V216" s="4">
        <v>33.5</v>
      </c>
      <c r="W216" s="4">
        <v>34.89</v>
      </c>
      <c r="X216" s="4">
        <v>30.13</v>
      </c>
      <c r="Y216" s="4">
        <v>28.82</v>
      </c>
      <c r="Z216" s="4">
        <v>26.09</v>
      </c>
      <c r="AA216" s="4">
        <v>25.96</v>
      </c>
      <c r="AB216" s="4">
        <v>24.71</v>
      </c>
      <c r="AC216" s="4">
        <v>23.61</v>
      </c>
      <c r="AD216" s="4">
        <v>22.04</v>
      </c>
      <c r="AE216" s="4">
        <v>19.96</v>
      </c>
      <c r="AF216" s="4">
        <v>20.05</v>
      </c>
      <c r="AG216" s="4">
        <v>20</v>
      </c>
      <c r="AH216" s="4">
        <v>20.420000000000002</v>
      </c>
      <c r="AI216" s="4">
        <v>20.73</v>
      </c>
      <c r="AJ216" s="4">
        <v>20.25</v>
      </c>
      <c r="AK216" s="4">
        <v>20.04</v>
      </c>
      <c r="AL216" s="4">
        <v>20.100000000000001</v>
      </c>
      <c r="AM216" s="4">
        <v>20.07</v>
      </c>
      <c r="AN216" s="4">
        <v>20.94</v>
      </c>
      <c r="AO216" s="4">
        <v>20.7</v>
      </c>
      <c r="AP216" s="4">
        <v>21.77</v>
      </c>
      <c r="AQ216" s="4">
        <v>20.89</v>
      </c>
      <c r="AR216" s="4">
        <v>21.75</v>
      </c>
      <c r="AS216" s="4">
        <v>21.42</v>
      </c>
      <c r="AT216" s="4">
        <v>21.5</v>
      </c>
      <c r="AU216" s="4">
        <v>21.934999999999999</v>
      </c>
      <c r="AV216" s="4">
        <v>21.06</v>
      </c>
      <c r="AW216" s="4">
        <v>21.17</v>
      </c>
      <c r="AX216" s="4">
        <v>21.22</v>
      </c>
      <c r="AY216" s="12">
        <v>21.25</v>
      </c>
      <c r="AZ216" s="12">
        <v>22.25</v>
      </c>
      <c r="BA216" s="12">
        <v>22.32</v>
      </c>
      <c r="BB216" s="15">
        <v>22.61</v>
      </c>
      <c r="BC216" s="52">
        <v>24.7</v>
      </c>
      <c r="BD216" s="52">
        <v>24.7</v>
      </c>
      <c r="BE216" s="52">
        <v>25.55</v>
      </c>
      <c r="BF216" s="52">
        <v>25.45</v>
      </c>
      <c r="BG216" s="67">
        <v>25.51</v>
      </c>
      <c r="BH216" s="52">
        <v>25.5</v>
      </c>
      <c r="BI216" s="52">
        <v>25.4</v>
      </c>
      <c r="BJ216" s="52">
        <v>26</v>
      </c>
      <c r="BK216" s="52">
        <v>25.85</v>
      </c>
      <c r="BL216" s="52" cm="1">
        <f t="array" aca="1" ref="BL216" ca="1">_FV(EC216,"Preço")</f>
        <v>25.85</v>
      </c>
      <c r="BM216" s="69" t="s">
        <v>212</v>
      </c>
      <c r="BN216" s="36" cm="1">
        <f t="array" aca="1" ref="BN216" ca="1">_FV(EC216,"Média de volume",TRUE)</f>
        <v>20240</v>
      </c>
      <c r="BO216" s="36">
        <v>6700</v>
      </c>
      <c r="BP216" s="36" cm="1">
        <f t="array" aca="1" ref="BP216" ca="1">_FV(EC216,"Volume")</f>
        <v>6700</v>
      </c>
      <c r="BQ216" s="24" cm="1">
        <f t="array" aca="1" ref="BQ216" ca="1">_FV(EC216,"Beta")</f>
        <v>0.9214</v>
      </c>
      <c r="BR216" s="71" cm="1">
        <f t="array" aca="1" ref="BR216" ca="1">_FV(EC216,"Variação (%)",TRUE)</f>
        <v>-1.5449999999999999E-3</v>
      </c>
      <c r="BT216" s="17" cm="1">
        <f t="array" aca="1" ref="BT216" ca="1">_FV(EC216,"Baixo")</f>
        <v>25.85</v>
      </c>
      <c r="BU216" s="17" cm="1">
        <f t="array" aca="1" ref="BU216" ca="1">_FV(EC216,"Alto")</f>
        <v>26.07</v>
      </c>
      <c r="BV216" s="24"/>
      <c r="BW216" s="63">
        <f ca="1">SQRT(22.5*(BL216/VLOOKUP(BM216,Fundamentus!A:U,3,FALSE))*(BL216/VLOOKUP(BM216,Fundamentus!A:U,4,FALSE)))</f>
        <v>12.065565639689842</v>
      </c>
      <c r="BY216" s="62">
        <f t="shared" ca="1" si="241"/>
        <v>0</v>
      </c>
      <c r="BZ216" s="8"/>
      <c r="CA216" s="61">
        <f t="shared" si="242"/>
        <v>19.96</v>
      </c>
      <c r="CB216" s="61">
        <f t="shared" si="243"/>
        <v>41.69</v>
      </c>
      <c r="CC216" s="61">
        <f t="shared" si="244"/>
        <v>28.094365079365087</v>
      </c>
      <c r="CD216" s="14"/>
      <c r="CE216" s="35">
        <f t="shared" si="227"/>
        <v>25.321979663159986</v>
      </c>
      <c r="CF216" s="15">
        <f t="shared" si="245"/>
        <v>25.769999999999982</v>
      </c>
      <c r="CG216" s="35">
        <f t="shared" si="228"/>
        <v>26.218020336839977</v>
      </c>
      <c r="CI216" s="14"/>
      <c r="CJ216" s="17">
        <f t="shared" si="229"/>
        <v>-4.9866666666666575</v>
      </c>
      <c r="CK216" s="17">
        <f t="shared" si="230"/>
        <v>7.4866666666666717</v>
      </c>
      <c r="CL216" s="17">
        <f t="shared" si="231"/>
        <v>16.743333333333339</v>
      </c>
      <c r="CM216" s="38">
        <f t="shared" si="246"/>
        <v>29.216666666666669</v>
      </c>
      <c r="CN216" s="17">
        <f t="shared" si="232"/>
        <v>38.473333333333336</v>
      </c>
      <c r="CO216" s="17">
        <f t="shared" si="233"/>
        <v>50.946666666666665</v>
      </c>
      <c r="CP216" s="17">
        <f t="shared" si="234"/>
        <v>60.203333333333333</v>
      </c>
      <c r="CQ216" s="2" cm="1">
        <f t="array" aca="1" ref="CQ216" ca="1">MAX(_xlfn._xlws.FILTER(CJ216:CP216,CJ216:CP216&lt;BL216))</f>
        <v>16.743333333333339</v>
      </c>
      <c r="CR216" s="2" cm="1">
        <f t="array" aca="1" ref="CR216" ca="1">MIN(_xlfn._xlws.FILTER($CJ216:$CP216,$CJ216:$CP216&gt;BL216))</f>
        <v>29.216666666666669</v>
      </c>
      <c r="CS216" s="16">
        <f t="shared" ca="1" si="248"/>
        <v>0.74497312363129553</v>
      </c>
      <c r="CT216" s="20">
        <f t="shared" ca="1" si="249"/>
        <v>-0.37248656181564777</v>
      </c>
      <c r="CU216" s="20">
        <f t="shared" ca="1" si="250"/>
        <v>-0.24832437454376519</v>
      </c>
      <c r="CV216" s="20">
        <f t="shared" ca="1" si="251"/>
        <v>-0.1489946247262591</v>
      </c>
      <c r="CW216" s="20">
        <f t="shared" ca="1" si="252"/>
        <v>-8.2774791514588386E-2</v>
      </c>
      <c r="CX216" s="20">
        <f t="shared" ca="1" si="253"/>
        <v>-4.3821948448899736E-2</v>
      </c>
      <c r="CY216" s="20">
        <f t="shared" ca="1" si="254"/>
        <v>-2.257494314034229E-2</v>
      </c>
      <c r="CZ216" s="20">
        <f t="shared" ca="1" si="255"/>
        <v>-1.1461124978943008E-2</v>
      </c>
      <c r="DA216" s="21">
        <f t="shared" ca="1" si="256"/>
        <v>1.1461124978943008E-2</v>
      </c>
      <c r="DB216" s="21">
        <f t="shared" ca="1" si="257"/>
        <v>2.257494314034229E-2</v>
      </c>
      <c r="DC216" s="21">
        <f t="shared" ca="1" si="258"/>
        <v>4.3821948448899736E-2</v>
      </c>
      <c r="DD216" s="21">
        <f t="shared" ca="1" si="259"/>
        <v>8.2774791514588386E-2</v>
      </c>
      <c r="DE216" s="21">
        <f t="shared" ca="1" si="260"/>
        <v>0.1489946247262591</v>
      </c>
      <c r="DF216" s="21">
        <f t="shared" ca="1" si="261"/>
        <v>0.24832437454376519</v>
      </c>
      <c r="DG216" s="21">
        <f t="shared" ca="1" si="262"/>
        <v>0.37248656181564777</v>
      </c>
      <c r="DI216" s="16" cm="1">
        <f t="array" aca="1" ref="DI216" ca="1">MAX(_xlfn._xlws.FILTER(CT216:DG216,CT216:DG216&lt;BR216))</f>
        <v>-1.1461124978943008E-2</v>
      </c>
      <c r="DJ216" s="16" cm="1">
        <f t="array" aca="1" ref="DJ216" ca="1">MIN(_xlfn._xlws.FILTER(CT216:DG216,CT216:DG216&gt;BR216))</f>
        <v>1.1461124978943008E-2</v>
      </c>
      <c r="DK216" s="2" cm="1">
        <f t="array" aca="1" ref="DK216" ca="1">_FV(EC216,"Fechamento anterior",TRUE)</f>
        <v>25.89</v>
      </c>
      <c r="DL216" s="28">
        <f t="shared" ca="1" si="235"/>
        <v>0.43259832382986285</v>
      </c>
      <c r="DM216" s="15">
        <f t="shared" ca="1" si="263"/>
        <v>25.593271474295165</v>
      </c>
      <c r="DN216" s="15">
        <f t="shared" ca="1" si="264"/>
        <v>26.186728525704837</v>
      </c>
      <c r="DO216" s="9"/>
      <c r="DP216" s="9"/>
      <c r="DQ216" s="9"/>
      <c r="DR216" s="89">
        <v>3.5130806193272815E-2</v>
      </c>
      <c r="DS216" s="89">
        <v>2.3684498242873879E-2</v>
      </c>
      <c r="DT216" s="89">
        <v>2.2922249957886016E-2</v>
      </c>
      <c r="DU216" s="89">
        <v>2.2922249957886016E-2</v>
      </c>
      <c r="DV216" s="89">
        <f t="shared" ca="1" si="236"/>
        <v>2.2922249957886016E-2</v>
      </c>
      <c r="DW216" s="72">
        <f t="shared" ca="1" si="237"/>
        <v>0.17856332273726794</v>
      </c>
      <c r="DX216" s="37"/>
      <c r="DY216" s="35">
        <f t="shared" si="247"/>
        <v>0.22401016841999774</v>
      </c>
      <c r="DZ216" s="56"/>
      <c r="EA216" s="56"/>
      <c r="EC216" s="2" t="e" vm="218">
        <v>#VALUE!</v>
      </c>
      <c r="EE216" s="10" cm="1">
        <f t="array" aca="1" ref="EE216" ca="1">_FV(EC216,"Ações em circulação",TRUE)</f>
        <v>107306500</v>
      </c>
      <c r="EF216" s="18">
        <f>VLOOKUP(BM216,Fundamentus!A:U,5,FALSE)</f>
        <v>0.95699999999999996</v>
      </c>
      <c r="EG216" s="2">
        <f t="shared" ca="1" si="238"/>
        <v>2898508908.0459771</v>
      </c>
      <c r="EH216" s="17">
        <v>72752573.591954023</v>
      </c>
      <c r="EI216" s="17">
        <f t="shared" ca="1" si="239"/>
        <v>72752573.591954023</v>
      </c>
      <c r="EK216" s="16">
        <f t="shared" ca="1" si="226"/>
        <v>0</v>
      </c>
      <c r="EL216" s="32" t="str">
        <f>IF(VLOOKUP(BM216,Fundamentus!A:U,3,FALSE)&lt;15,"Bom",IF(VLOOKUP(BM216,Fundamentus!A:U,3,FALSE)&gt;15,"Ruim","n/a"))</f>
        <v>Ruim</v>
      </c>
      <c r="EM216" s="28" t="str">
        <f>IF(VLOOKUP(BM216,Fundamentus!A:U,4,FALSE)&lt;1,"Baixo",IF(VLOOKUP(BM216,Fundamentus!A:U,4,FALSE)&lt;1.5,"Moderado",IF(VLOOKUP(BM216,Fundamentus!A:U,4,FALSE)&gt;1.5,"Alto","n/a")))</f>
        <v>Alto</v>
      </c>
      <c r="EN216" s="17" t="str">
        <f>IF(VLOOKUP(BM216,Fundamentus!A:U,8,FALSE)&lt;0,"Risco elevado",IF(VLOOKUP(BM216,Fundamentus!A:U,8,FALSE)&lt;1,"Saudável",IF(VLOOKUP(BM216,Fundamentus!A:U,8,FALSE)&lt;3,"Estável",IF(VLOOKUP(BM216,Fundamentus!A:U,8,FALSE)&gt;3,"Alerta","n/a"))))</f>
        <v>Alerta</v>
      </c>
      <c r="EO216" s="28" t="str">
        <f t="shared" si="240"/>
        <v>Ruim</v>
      </c>
      <c r="EP216" s="17" t="str">
        <f>IF(VLOOKUP(BM216,Fundamentus!A:U,12,FALSE)&lt;2,"Subvalorizada",IF(VLOOKUP(BM216,Fundamentus!A:U,12,FALSE)&lt;6,"Muita barata",IF(VLOOKUP(BM216,Fundamentus!A:U,12,FALSE)&lt;6,"Barata",IF(VLOOKUP(BM216,Fundamentus!A:U,12,FALSE)&lt;8,"Atrativa",IF(VLOOKUP(BM216,Fundamentus!A:U,12,FALSE)&gt;8,"Supervalorizada","n/a")))))</f>
        <v>Atrativa</v>
      </c>
      <c r="ER216" s="17" t="str">
        <f>IF(VLOOKUP(BM216,Fundamentus!A:U,17,FALSE)&lt;0.1,"Fraco retorno",IF(VLOOKUP(BM216,Fundamentus!A:U,17,FALSE)&gt;0.1,"Bom retorno","n/a"))</f>
        <v>Fraco retorno</v>
      </c>
      <c r="ES216" s="17" t="str">
        <f>IF(VLOOKUP(BM216,Fundamentus!A:U,16,FALSE)&lt;0.1,"Ineficiente",IF(VLOOKUP(BM216,Fundamentus!A:U,16,FALSE)&gt;0.1,"Eficiente","n/a"))</f>
        <v>Ineficiente</v>
      </c>
      <c r="ET216" s="33" t="str">
        <f>IF(VLOOKUP(BM216,Fundamentus!A:U,16,FALSE)&lt;0.1,"Oper. Ineficiente",IF(VLOOKUP(BM216,Fundamentus!A:U,16,FALSE)&gt;0.1,"Oper.Eficiente","n/a"))</f>
        <v>Oper. Ineficiente</v>
      </c>
      <c r="EU216" s="34">
        <f>VLOOKUP(BM216,Fundamentus!A:U,14,FALSE)</f>
        <v>2.5100000000000001E-2</v>
      </c>
      <c r="EV216" s="17" t="str">
        <f>IF(VLOOKUP(BM216,Fundamentus!A:U,21,FALSE)&lt;0,"Negativo",IF(VLOOKUP(BM216,Fundamentus!A:U,21,FALSE)&lt;0.05,"Fraco",IF(VLOOKUP(BM216,Fundamentus!A:U,21,FALSE)&lt;0.1,"Bom",IF(VLOOKUP(BM216,Fundamentus!A:U,21,FALSE)&gt;0.1,"Muito bom","n/a"))))</f>
        <v>Muito bom</v>
      </c>
      <c r="EX216" s="29" t="str">
        <f>IF(VLOOKUP(BM216,Fundamentus!A:U,15,FALSE)&gt;1,"Bom",IF(VLOOKUP(BM216,Fundamentus!A:U,15,FALSE)&lt;1,"Ruim","n/a"))</f>
        <v>Bom</v>
      </c>
      <c r="EY216" s="17" t="str">
        <f>IF(VLOOKUP(BM216,Fundamentus!A:U,20,FALSE)&lt;0.5,"Baixa",IF(VLOOKUP(BM216,Fundamentus!A:U,20,FALSE)&lt;1,"Moderada",IF(VLOOKUP(BM216,Fundamentus!A:U,20,FALSE)&lt;2,"Alerta",IF(VLOOKUP(BM216,Fundamentus!A:U,20,FALSE)&gt;2,"Alta","n/a"))))</f>
        <v>Alerta</v>
      </c>
    </row>
    <row r="217" spans="1:156" s="2" customFormat="1" ht="11.25" x14ac:dyDescent="0.2">
      <c r="A217" s="4">
        <v>7.48</v>
      </c>
      <c r="B217" s="4">
        <v>8.1</v>
      </c>
      <c r="C217" s="4">
        <v>8.52</v>
      </c>
      <c r="D217" s="4">
        <v>8.16</v>
      </c>
      <c r="E217" s="4">
        <v>8.1300000000000008</v>
      </c>
      <c r="F217" s="4">
        <v>7.68</v>
      </c>
      <c r="G217" s="4">
        <v>7.31</v>
      </c>
      <c r="H217" s="4">
        <v>7.5</v>
      </c>
      <c r="I217" s="4">
        <v>7.53</v>
      </c>
      <c r="J217" s="4">
        <v>9</v>
      </c>
      <c r="K217" s="4">
        <v>9.15</v>
      </c>
      <c r="L217" s="4">
        <v>8.98</v>
      </c>
      <c r="M217" s="4">
        <v>8.94</v>
      </c>
      <c r="N217" s="4">
        <v>9.01</v>
      </c>
      <c r="O217" s="4">
        <v>8.48</v>
      </c>
      <c r="P217" s="4">
        <v>8.26</v>
      </c>
      <c r="Q217" s="4">
        <v>8.23</v>
      </c>
      <c r="R217" s="4">
        <v>7.6</v>
      </c>
      <c r="S217" s="4">
        <v>7.42</v>
      </c>
      <c r="T217" s="4">
        <v>7.32</v>
      </c>
      <c r="U217" s="4">
        <v>6.57</v>
      </c>
      <c r="V217" s="4">
        <v>6.5</v>
      </c>
      <c r="W217" s="4">
        <v>5.64</v>
      </c>
      <c r="X217" s="4">
        <v>5.6</v>
      </c>
      <c r="Y217" s="4">
        <v>5.99</v>
      </c>
      <c r="Z217" s="4">
        <v>6.32</v>
      </c>
      <c r="AA217" s="4">
        <v>5.77</v>
      </c>
      <c r="AB217" s="4">
        <v>5.71</v>
      </c>
      <c r="AC217" s="4">
        <v>5.53</v>
      </c>
      <c r="AD217" s="4">
        <v>6.1</v>
      </c>
      <c r="AE217" s="4">
        <v>5.79</v>
      </c>
      <c r="AF217" s="4">
        <v>5.3</v>
      </c>
      <c r="AG217" s="4">
        <v>5.6</v>
      </c>
      <c r="AH217" s="4">
        <v>5.0199999999999996</v>
      </c>
      <c r="AI217" s="4">
        <v>4.66</v>
      </c>
      <c r="AJ217" s="4">
        <v>4.58</v>
      </c>
      <c r="AK217" s="4">
        <v>4.4400000000000004</v>
      </c>
      <c r="AL217" s="4">
        <v>4.6399999999999997</v>
      </c>
      <c r="AM217" s="4">
        <v>4.5599999999999996</v>
      </c>
      <c r="AN217" s="4">
        <v>4.84</v>
      </c>
      <c r="AO217" s="4">
        <v>4.0599999999999996</v>
      </c>
      <c r="AP217" s="4">
        <v>5</v>
      </c>
      <c r="AQ217" s="4">
        <v>4.62</v>
      </c>
      <c r="AR217" s="4">
        <v>3.81</v>
      </c>
      <c r="AS217" s="4">
        <v>3.82</v>
      </c>
      <c r="AT217" s="4">
        <v>3.95</v>
      </c>
      <c r="AU217" s="4">
        <v>4.3499999999999996</v>
      </c>
      <c r="AV217" s="4">
        <v>4.67</v>
      </c>
      <c r="AW217" s="4">
        <v>4.3600000000000003</v>
      </c>
      <c r="AX217" s="4">
        <v>4.87</v>
      </c>
      <c r="AY217" s="12">
        <v>4.99</v>
      </c>
      <c r="AZ217" s="12">
        <v>5.36</v>
      </c>
      <c r="BA217" s="12">
        <v>4.92</v>
      </c>
      <c r="BB217" s="15">
        <v>4.55</v>
      </c>
      <c r="BC217" s="52">
        <v>4.34</v>
      </c>
      <c r="BD217" s="52">
        <v>4.12</v>
      </c>
      <c r="BE217" s="52">
        <v>4.97</v>
      </c>
      <c r="BF217" s="52">
        <v>4.53</v>
      </c>
      <c r="BG217" s="67">
        <v>4.6399999999999997</v>
      </c>
      <c r="BH217" s="52">
        <v>4.4800000000000004</v>
      </c>
      <c r="BI217" s="52">
        <v>4.13</v>
      </c>
      <c r="BJ217" s="52">
        <v>3.97</v>
      </c>
      <c r="BK217" s="52">
        <v>3.91</v>
      </c>
      <c r="BL217" s="52" cm="1">
        <f t="array" aca="1" ref="BL217" ca="1">_FV(EC217,"Preço")</f>
        <v>3.91</v>
      </c>
      <c r="BM217" s="69" t="s">
        <v>213</v>
      </c>
      <c r="BN217" s="36" cm="1">
        <f t="array" aca="1" ref="BN217" ca="1">_FV(EC217,"Média de volume",TRUE)</f>
        <v>14265240</v>
      </c>
      <c r="BO217" s="36">
        <v>13712900</v>
      </c>
      <c r="BP217" s="36" cm="1">
        <f t="array" aca="1" ref="BP217" ca="1">_FV(EC217,"Volume")</f>
        <v>13712900</v>
      </c>
      <c r="BQ217" s="24" cm="1">
        <f t="array" aca="1" ref="BQ217" ca="1">_FV(EC217,"Beta")</f>
        <v>1.2751999999999999</v>
      </c>
      <c r="BR217" s="71" cm="1">
        <f t="array" aca="1" ref="BR217" ca="1">_FV(EC217,"Variação (%)",TRUE)</f>
        <v>-2.2499999999999999E-2</v>
      </c>
      <c r="BT217" s="17" cm="1">
        <f t="array" aca="1" ref="BT217" ca="1">_FV(EC217,"Baixo")</f>
        <v>3.86</v>
      </c>
      <c r="BU217" s="17" cm="1">
        <f t="array" aca="1" ref="BU217" ca="1">_FV(EC217,"Alto")</f>
        <v>3.99</v>
      </c>
      <c r="BV217" s="24"/>
      <c r="BW217" s="63">
        <f ca="1">SQRT(22.5*(BL217/VLOOKUP(BM217,Fundamentus!A:U,3,FALSE))*(BL217/VLOOKUP(BM217,Fundamentus!A:U,4,FALSE)))</f>
        <v>3.2223329165776153</v>
      </c>
      <c r="BY217" s="62">
        <f t="shared" ca="1" si="241"/>
        <v>0</v>
      </c>
      <c r="BZ217" s="8"/>
      <c r="CA217" s="61">
        <f t="shared" si="242"/>
        <v>3.81</v>
      </c>
      <c r="CB217" s="61">
        <f t="shared" si="243"/>
        <v>9.15</v>
      </c>
      <c r="CC217" s="61">
        <f t="shared" si="244"/>
        <v>5.9425396825396843</v>
      </c>
      <c r="CD217" s="14"/>
      <c r="CE217" s="35">
        <f t="shared" si="227"/>
        <v>3.4588927976053747</v>
      </c>
      <c r="CF217" s="15">
        <f t="shared" si="245"/>
        <v>4.0289999999999964</v>
      </c>
      <c r="CG217" s="35">
        <f t="shared" si="228"/>
        <v>4.5991072023946185</v>
      </c>
      <c r="CI217" s="14"/>
      <c r="CJ217" s="17">
        <f t="shared" si="229"/>
        <v>-3.2033333333333336</v>
      </c>
      <c r="CK217" s="17">
        <f t="shared" si="230"/>
        <v>0.30333333333333368</v>
      </c>
      <c r="CL217" s="17">
        <f t="shared" si="231"/>
        <v>2.1366666666666667</v>
      </c>
      <c r="CM217" s="38">
        <f t="shared" si="246"/>
        <v>5.6433333333333335</v>
      </c>
      <c r="CN217" s="17">
        <f t="shared" si="232"/>
        <v>7.4766666666666666</v>
      </c>
      <c r="CO217" s="17">
        <f t="shared" si="233"/>
        <v>10.983333333333334</v>
      </c>
      <c r="CP217" s="17">
        <f t="shared" si="234"/>
        <v>12.816666666666666</v>
      </c>
      <c r="CQ217" s="2" cm="1">
        <f t="array" aca="1" ref="CQ217" ca="1">MAX(_xlfn._xlws.FILTER(CJ217:CP217,CJ217:CP217&lt;BL217))</f>
        <v>2.1366666666666667</v>
      </c>
      <c r="CR217" s="2" cm="1">
        <f t="array" aca="1" ref="CR217" ca="1">MIN(_xlfn._xlws.FILTER($CJ217:$CP217,$CJ217:$CP217&gt;BL217))</f>
        <v>5.6433333333333335</v>
      </c>
      <c r="CS217" s="16">
        <f t="shared" ca="1" si="248"/>
        <v>1.641185647425897</v>
      </c>
      <c r="CT217" s="20">
        <f t="shared" ca="1" si="249"/>
        <v>-0.8205928237129485</v>
      </c>
      <c r="CU217" s="20">
        <f t="shared" ca="1" si="250"/>
        <v>-0.54706188247529897</v>
      </c>
      <c r="CV217" s="20">
        <f t="shared" ca="1" si="251"/>
        <v>-0.32823712948517941</v>
      </c>
      <c r="CW217" s="20">
        <f t="shared" ca="1" si="252"/>
        <v>-0.18235396082509966</v>
      </c>
      <c r="CX217" s="20">
        <f t="shared" ca="1" si="253"/>
        <v>-9.654033220152336E-2</v>
      </c>
      <c r="CY217" s="20">
        <f t="shared" ca="1" si="254"/>
        <v>-4.9732898406845361E-2</v>
      </c>
      <c r="CZ217" s="20">
        <f t="shared" ca="1" si="255"/>
        <v>-2.5249009960398416E-2</v>
      </c>
      <c r="DA217" s="21">
        <f t="shared" ca="1" si="256"/>
        <v>2.5249009960398416E-2</v>
      </c>
      <c r="DB217" s="21">
        <f t="shared" ca="1" si="257"/>
        <v>4.9732898406845361E-2</v>
      </c>
      <c r="DC217" s="21">
        <f t="shared" ca="1" si="258"/>
        <v>9.654033220152336E-2</v>
      </c>
      <c r="DD217" s="21">
        <f t="shared" ca="1" si="259"/>
        <v>0.18235396082509966</v>
      </c>
      <c r="DE217" s="21">
        <f t="shared" ca="1" si="260"/>
        <v>0.32823712948517941</v>
      </c>
      <c r="DF217" s="21">
        <f t="shared" ca="1" si="261"/>
        <v>0.54706188247529897</v>
      </c>
      <c r="DG217" s="21">
        <f t="shared" ca="1" si="262"/>
        <v>0.8205928237129485</v>
      </c>
      <c r="DI217" s="16" cm="1">
        <f t="array" aca="1" ref="DI217" ca="1">MAX(_xlfn._xlws.FILTER(CT217:DG217,CT217:DG217&lt;BR217))</f>
        <v>-2.5249009960398416E-2</v>
      </c>
      <c r="DJ217" s="16" cm="1">
        <f t="array" aca="1" ref="DJ217" ca="1">MIN(_xlfn._xlws.FILTER(CT217:DG217,CT217:DG217&gt;BR217))</f>
        <v>2.5249009960398416E-2</v>
      </c>
      <c r="DK217" s="2" cm="1">
        <f t="array" aca="1" ref="DK217" ca="1">_FV(EC217,"Fechamento anterior",TRUE)</f>
        <v>4</v>
      </c>
      <c r="DL217" s="28">
        <f t="shared" ca="1" si="235"/>
        <v>5.4437975285170838E-2</v>
      </c>
      <c r="DM217" s="15">
        <f t="shared" ca="1" si="263"/>
        <v>3.8990039601584066</v>
      </c>
      <c r="DN217" s="15">
        <f t="shared" ca="1" si="264"/>
        <v>4.1009960398415934</v>
      </c>
      <c r="DO217" s="9"/>
      <c r="DP217" s="9"/>
      <c r="DQ217" s="9"/>
      <c r="DR217" s="89">
        <v>2.7292326709785437E-2</v>
      </c>
      <c r="DS217" s="89">
        <v>1.8960824122114438E-2</v>
      </c>
      <c r="DT217" s="89">
        <v>5.0498019920796833E-2</v>
      </c>
      <c r="DU217" s="89">
        <v>5.0498019920796833E-2</v>
      </c>
      <c r="DV217" s="89">
        <f t="shared" ca="1" si="236"/>
        <v>5.0498019920796833E-2</v>
      </c>
      <c r="DW217" s="72">
        <f t="shared" ca="1" si="237"/>
        <v>-0.2087326725573023</v>
      </c>
      <c r="DX217" s="37"/>
      <c r="DY217" s="35">
        <f t="shared" si="247"/>
        <v>0.28505360119731088</v>
      </c>
      <c r="DZ217" s="56"/>
      <c r="EA217" s="56"/>
      <c r="EC217" s="2" t="e" vm="219">
        <v>#VALUE!</v>
      </c>
      <c r="EE217" s="10" cm="1">
        <f t="array" aca="1" ref="EE217" ca="1">_FV(EC217,"Ações em circulação",TRUE)</f>
        <v>1081033000</v>
      </c>
      <c r="EF217" s="18">
        <f>VLOOKUP(BM217,Fundamentus!A:U,5,FALSE)</f>
        <v>1.165</v>
      </c>
      <c r="EG217" s="2">
        <f t="shared" ca="1" si="238"/>
        <v>3628188008.5836906</v>
      </c>
      <c r="EH217" s="17">
        <v>257601348.60944203</v>
      </c>
      <c r="EI217" s="17">
        <f t="shared" ca="1" si="239"/>
        <v>257601348.60944203</v>
      </c>
      <c r="EK217" s="16">
        <f t="shared" ca="1" si="226"/>
        <v>0</v>
      </c>
      <c r="EL217" s="32" t="str">
        <f>IF(VLOOKUP(BM217,Fundamentus!A:U,3,FALSE)&lt;15,"Bom",IF(VLOOKUP(BM217,Fundamentus!A:U,3,FALSE)&gt;15,"Ruim","n/a"))</f>
        <v>Ruim</v>
      </c>
      <c r="EM217" s="28" t="str">
        <f>IF(VLOOKUP(BM217,Fundamentus!A:U,4,FALSE)&lt;1,"Baixo",IF(VLOOKUP(BM217,Fundamentus!A:U,4,FALSE)&lt;1.5,"Moderado",IF(VLOOKUP(BM217,Fundamentus!A:U,4,FALSE)&gt;1.5,"Alto","n/a")))</f>
        <v>Alto</v>
      </c>
      <c r="EN217" s="17" t="str">
        <f>IF(VLOOKUP(BM217,Fundamentus!A:U,8,FALSE)&lt;0,"Risco elevado",IF(VLOOKUP(BM217,Fundamentus!A:U,8,FALSE)&lt;1,"Saudável",IF(VLOOKUP(BM217,Fundamentus!A:U,8,FALSE)&lt;3,"Estável",IF(VLOOKUP(BM217,Fundamentus!A:U,8,FALSE)&gt;3,"Alerta","n/a"))))</f>
        <v>Estável</v>
      </c>
      <c r="EO217" s="28" t="str">
        <f t="shared" si="240"/>
        <v>Bom</v>
      </c>
      <c r="EP217" s="17" t="str">
        <f>IF(VLOOKUP(BM217,Fundamentus!A:U,12,FALSE)&lt;2,"Subvalorizada",IF(VLOOKUP(BM217,Fundamentus!A:U,12,FALSE)&lt;6,"Muita barata",IF(VLOOKUP(BM217,Fundamentus!A:U,12,FALSE)&lt;6,"Barata",IF(VLOOKUP(BM217,Fundamentus!A:U,12,FALSE)&lt;8,"Atrativa",IF(VLOOKUP(BM217,Fundamentus!A:U,12,FALSE)&gt;8,"Supervalorizada","n/a")))))</f>
        <v>Muita barata</v>
      </c>
      <c r="ER217" s="17" t="str">
        <f>IF(VLOOKUP(BM217,Fundamentus!A:U,17,FALSE)&lt;0.1,"Fraco retorno",IF(VLOOKUP(BM217,Fundamentus!A:U,17,FALSE)&gt;0.1,"Bom retorno","n/a"))</f>
        <v>Bom retorno</v>
      </c>
      <c r="ES217" s="17" t="str">
        <f>IF(VLOOKUP(BM217,Fundamentus!A:U,16,FALSE)&lt;0.1,"Ineficiente",IF(VLOOKUP(BM217,Fundamentus!A:U,16,FALSE)&gt;0.1,"Eficiente","n/a"))</f>
        <v>Eficiente</v>
      </c>
      <c r="ET217" s="33" t="str">
        <f>IF(VLOOKUP(BM217,Fundamentus!A:U,16,FALSE)&lt;0.1,"Oper. Ineficiente",IF(VLOOKUP(BM217,Fundamentus!A:U,16,FALSE)&gt;0.1,"Oper.Eficiente","n/a"))</f>
        <v>Oper.Eficiente</v>
      </c>
      <c r="EU217" s="34">
        <f>VLOOKUP(BM217,Fundamentus!A:U,14,FALSE)</f>
        <v>7.0999999999999994E-2</v>
      </c>
      <c r="EV217" s="17" t="str">
        <f>IF(VLOOKUP(BM217,Fundamentus!A:U,21,FALSE)&lt;0,"Negativo",IF(VLOOKUP(BM217,Fundamentus!A:U,21,FALSE)&lt;0.05,"Fraco",IF(VLOOKUP(BM217,Fundamentus!A:U,21,FALSE)&lt;0.1,"Bom",IF(VLOOKUP(BM217,Fundamentus!A:U,21,FALSE)&gt;0.1,"Muito bom","n/a"))))</f>
        <v>Muito bom</v>
      </c>
      <c r="EX217" s="29" t="str">
        <f>IF(VLOOKUP(BM217,Fundamentus!A:U,15,FALSE)&gt;1,"Bom",IF(VLOOKUP(BM217,Fundamentus!A:U,15,FALSE)&lt;1,"Ruim","n/a"))</f>
        <v>Bom</v>
      </c>
      <c r="EY217" s="17" t="str">
        <f>IF(VLOOKUP(BM217,Fundamentus!A:U,20,FALSE)&lt;0.5,"Baixa",IF(VLOOKUP(BM217,Fundamentus!A:U,20,FALSE)&lt;1,"Moderada",IF(VLOOKUP(BM217,Fundamentus!A:U,20,FALSE)&lt;2,"Alerta",IF(VLOOKUP(BM217,Fundamentus!A:U,20,FALSE)&gt;2,"Alta","n/a"))))</f>
        <v>Alta</v>
      </c>
    </row>
    <row r="218" spans="1:156" s="2" customFormat="1" ht="11.25" x14ac:dyDescent="0.2">
      <c r="A218" s="4">
        <v>4.3600000000000003</v>
      </c>
      <c r="B218" s="4">
        <v>4.2</v>
      </c>
      <c r="C218" s="4">
        <v>4.1399999999999997</v>
      </c>
      <c r="D218" s="4">
        <v>4.07</v>
      </c>
      <c r="E218" s="4">
        <v>4</v>
      </c>
      <c r="F218" s="4">
        <v>3.87</v>
      </c>
      <c r="G218" s="4">
        <v>3.75</v>
      </c>
      <c r="H218" s="4">
        <v>3.85</v>
      </c>
      <c r="I218" s="4">
        <v>3.95</v>
      </c>
      <c r="J218" s="4">
        <v>4.26</v>
      </c>
      <c r="K218" s="4">
        <v>4.3099999999999996</v>
      </c>
      <c r="L218" s="4">
        <v>4.0199999999999996</v>
      </c>
      <c r="M218" s="4">
        <v>4</v>
      </c>
      <c r="N218" s="4">
        <v>4.01</v>
      </c>
      <c r="O218" s="4">
        <v>4.17</v>
      </c>
      <c r="P218" s="4">
        <v>4.29</v>
      </c>
      <c r="Q218" s="4">
        <v>4.46</v>
      </c>
      <c r="R218" s="4">
        <v>4.37</v>
      </c>
      <c r="S218" s="4">
        <v>4.49</v>
      </c>
      <c r="T218" s="4">
        <v>4.54</v>
      </c>
      <c r="U218" s="4">
        <v>4.18</v>
      </c>
      <c r="V218" s="4">
        <v>4.0999999999999996</v>
      </c>
      <c r="W218" s="4">
        <v>4.3099999999999996</v>
      </c>
      <c r="X218" s="4">
        <v>4.2300000000000004</v>
      </c>
      <c r="Y218" s="4">
        <v>4.4800000000000004</v>
      </c>
      <c r="Z218" s="4">
        <v>4.4000000000000004</v>
      </c>
      <c r="AA218" s="4">
        <v>4.3099999999999996</v>
      </c>
      <c r="AB218" s="4">
        <v>4.5</v>
      </c>
      <c r="AC218" s="4">
        <v>4.45</v>
      </c>
      <c r="AD218" s="4">
        <v>4.49</v>
      </c>
      <c r="AE218" s="4">
        <v>4.34</v>
      </c>
      <c r="AF218" s="4">
        <v>4.04</v>
      </c>
      <c r="AG218" s="4">
        <v>3.91</v>
      </c>
      <c r="AH218" s="4">
        <v>3.78</v>
      </c>
      <c r="AI218" s="4">
        <v>3.74</v>
      </c>
      <c r="AJ218" s="4">
        <v>3.66</v>
      </c>
      <c r="AK218" s="4">
        <v>3.65</v>
      </c>
      <c r="AL218" s="4">
        <v>3.66</v>
      </c>
      <c r="AM218" s="4">
        <v>3.69</v>
      </c>
      <c r="AN218" s="4">
        <v>3.96</v>
      </c>
      <c r="AO218" s="4">
        <v>3.87</v>
      </c>
      <c r="AP218" s="4">
        <v>4.01</v>
      </c>
      <c r="AQ218" s="4">
        <v>3.84</v>
      </c>
      <c r="AR218" s="4">
        <v>3.56</v>
      </c>
      <c r="AS218" s="4">
        <v>3.78</v>
      </c>
      <c r="AT218" s="4">
        <v>3.89</v>
      </c>
      <c r="AU218" s="4">
        <v>3.9249999999999998</v>
      </c>
      <c r="AV218" s="4">
        <v>4.13</v>
      </c>
      <c r="AW218" s="4">
        <v>4.0999999999999996</v>
      </c>
      <c r="AX218" s="4">
        <v>4.1900000000000004</v>
      </c>
      <c r="AY218" s="12">
        <v>4.55</v>
      </c>
      <c r="AZ218" s="12">
        <v>5.0599999999999996</v>
      </c>
      <c r="BA218" s="12">
        <v>5.13</v>
      </c>
      <c r="BB218" s="15">
        <v>5.0999999999999996</v>
      </c>
      <c r="BC218" s="52">
        <v>5.17</v>
      </c>
      <c r="BD218" s="52">
        <v>5.0599999999999996</v>
      </c>
      <c r="BE218" s="52">
        <v>5.35</v>
      </c>
      <c r="BF218" s="52">
        <v>5.24</v>
      </c>
      <c r="BG218" s="67">
        <v>5.23</v>
      </c>
      <c r="BH218" s="52">
        <v>5.26</v>
      </c>
      <c r="BI218" s="52">
        <v>5.25</v>
      </c>
      <c r="BJ218" s="52">
        <v>5.3</v>
      </c>
      <c r="BK218" s="52">
        <v>5.23</v>
      </c>
      <c r="BL218" s="52" cm="1">
        <f t="array" aca="1" ref="BL218" ca="1">_FV(EC218,"Preço")</f>
        <v>5.23</v>
      </c>
      <c r="BM218" s="69" t="s">
        <v>214</v>
      </c>
      <c r="BN218" s="36" cm="1">
        <f t="array" aca="1" ref="BN218" ca="1">_FV(EC218,"Média de volume",TRUE)</f>
        <v>2452240</v>
      </c>
      <c r="BO218" s="36">
        <v>2652300</v>
      </c>
      <c r="BP218" s="36" cm="1">
        <f t="array" aca="1" ref="BP218" ca="1">_FV(EC218,"Volume")</f>
        <v>2652300</v>
      </c>
      <c r="BQ218" s="24" cm="1">
        <f t="array" aca="1" ref="BQ218" ca="1">_FV(EC218,"Beta")</f>
        <v>1.5562</v>
      </c>
      <c r="BR218" s="71" cm="1">
        <f t="array" aca="1" ref="BR218" ca="1">_FV(EC218,"Variação (%)",TRUE)</f>
        <v>5.7689999999999998E-3</v>
      </c>
      <c r="BT218" s="17" cm="1">
        <f t="array" aca="1" ref="BT218" ca="1">_FV(EC218,"Baixo")</f>
        <v>5.1100000000000003</v>
      </c>
      <c r="BU218" s="17" cm="1">
        <f t="array" aca="1" ref="BU218" ca="1">_FV(EC218,"Alto")</f>
        <v>5.26</v>
      </c>
      <c r="BV218" s="24"/>
      <c r="BW218" s="63">
        <f ca="1">SQRT(22.5*(BL218/VLOOKUP(BM218,Fundamentus!A:U,3,FALSE))*(BL218/VLOOKUP(BM218,Fundamentus!A:U,4,FALSE)))</f>
        <v>17.239468402860116</v>
      </c>
      <c r="BY218" s="62">
        <f t="shared" ca="1" si="241"/>
        <v>0</v>
      </c>
      <c r="BZ218" s="8"/>
      <c r="CA218" s="61">
        <f t="shared" si="242"/>
        <v>3.56</v>
      </c>
      <c r="CB218" s="61">
        <f t="shared" si="243"/>
        <v>5.35</v>
      </c>
      <c r="CC218" s="61">
        <f t="shared" si="244"/>
        <v>4.3049999999999997</v>
      </c>
      <c r="CD218" s="14"/>
      <c r="CE218" s="35">
        <f t="shared" si="227"/>
        <v>5.2098105590173294</v>
      </c>
      <c r="CF218" s="15">
        <f t="shared" si="245"/>
        <v>5.2579999999999991</v>
      </c>
      <c r="CG218" s="35">
        <f t="shared" si="228"/>
        <v>5.3061894409826689</v>
      </c>
      <c r="CI218" s="14"/>
      <c r="CJ218" s="17">
        <f t="shared" si="229"/>
        <v>2.3333333333333353</v>
      </c>
      <c r="CK218" s="17">
        <f t="shared" si="230"/>
        <v>2.9466666666666677</v>
      </c>
      <c r="CL218" s="17">
        <f t="shared" si="231"/>
        <v>4.1233333333333348</v>
      </c>
      <c r="CM218" s="38">
        <f t="shared" si="246"/>
        <v>4.7366666666666672</v>
      </c>
      <c r="CN218" s="17">
        <f t="shared" si="232"/>
        <v>5.913333333333334</v>
      </c>
      <c r="CO218" s="17">
        <f t="shared" si="233"/>
        <v>6.5266666666666673</v>
      </c>
      <c r="CP218" s="17">
        <f t="shared" si="234"/>
        <v>7.703333333333334</v>
      </c>
      <c r="CQ218" s="2" cm="1">
        <f t="array" aca="1" ref="CQ218" ca="1">MAX(_xlfn._xlws.FILTER(CJ218:CP218,CJ218:CP218&lt;BL218))</f>
        <v>4.7366666666666672</v>
      </c>
      <c r="CR218" s="2" cm="1">
        <f t="array" aca="1" ref="CR218" ca="1">MIN(_xlfn._xlws.FILTER($CJ218:$CP218,$CJ218:$CP218&gt;BL218))</f>
        <v>5.913333333333334</v>
      </c>
      <c r="CS218" s="16">
        <f t="shared" ca="1" si="248"/>
        <v>0.24841660802251941</v>
      </c>
      <c r="CT218" s="20">
        <f t="shared" ca="1" si="249"/>
        <v>-0.12420830401125971</v>
      </c>
      <c r="CU218" s="20">
        <f t="shared" ca="1" si="250"/>
        <v>-8.2805536007506467E-2</v>
      </c>
      <c r="CV218" s="20">
        <f t="shared" ca="1" si="251"/>
        <v>-4.968332160450388E-2</v>
      </c>
      <c r="CW218" s="20">
        <f t="shared" ca="1" si="252"/>
        <v>-2.7601845335835491E-2</v>
      </c>
      <c r="CX218" s="20">
        <f t="shared" ca="1" si="253"/>
        <v>-1.4612741648383495E-2</v>
      </c>
      <c r="CY218" s="20">
        <f t="shared" ca="1" si="254"/>
        <v>-7.5277760006824063E-3</v>
      </c>
      <c r="CZ218" s="20">
        <f t="shared" ca="1" si="255"/>
        <v>-3.8217939695772219E-3</v>
      </c>
      <c r="DA218" s="21">
        <f t="shared" ca="1" si="256"/>
        <v>3.8217939695772219E-3</v>
      </c>
      <c r="DB218" s="21">
        <f t="shared" ca="1" si="257"/>
        <v>7.5277760006824063E-3</v>
      </c>
      <c r="DC218" s="21">
        <f t="shared" ca="1" si="258"/>
        <v>1.4612741648383495E-2</v>
      </c>
      <c r="DD218" s="21">
        <f t="shared" ca="1" si="259"/>
        <v>2.7601845335835491E-2</v>
      </c>
      <c r="DE218" s="21">
        <f t="shared" ca="1" si="260"/>
        <v>4.968332160450388E-2</v>
      </c>
      <c r="DF218" s="21">
        <f t="shared" ca="1" si="261"/>
        <v>8.2805536007506467E-2</v>
      </c>
      <c r="DG218" s="21">
        <f t="shared" ca="1" si="262"/>
        <v>0.12420830401125971</v>
      </c>
      <c r="DI218" s="16" cm="1">
        <f t="array" aca="1" ref="DI218" ca="1">MAX(_xlfn._xlws.FILTER(CT218:DG218,CT218:DG218&lt;BR218))</f>
        <v>3.8217939695772219E-3</v>
      </c>
      <c r="DJ218" s="16" cm="1">
        <f t="array" aca="1" ref="DJ218" ca="1">MIN(_xlfn._xlws.FILTER(CT218:DG218,CT218:DG218&gt;BR218))</f>
        <v>7.5277760006824063E-3</v>
      </c>
      <c r="DK218" s="2" cm="1">
        <f t="array" aca="1" ref="DK218" ca="1">_FV(EC218,"Fechamento anterior",TRUE)</f>
        <v>5.2</v>
      </c>
      <c r="DL218" s="28">
        <f t="shared" ca="1" si="235"/>
        <v>0.52548468484421973</v>
      </c>
      <c r="DM218" s="15">
        <f t="shared" ca="1" si="263"/>
        <v>5.2198733286418015</v>
      </c>
      <c r="DN218" s="15">
        <f t="shared" ca="1" si="264"/>
        <v>5.2391444352035483</v>
      </c>
      <c r="DO218" s="9"/>
      <c r="DP218" s="9"/>
      <c r="DQ218" s="9"/>
      <c r="DR218" s="89">
        <v>5.5665480551335385E-3</v>
      </c>
      <c r="DS218" s="89">
        <v>6.9788491454187409E-3</v>
      </c>
      <c r="DT218" s="89">
        <v>3.7059820311051844E-3</v>
      </c>
      <c r="DU218" s="89">
        <v>3.7059820311051844E-3</v>
      </c>
      <c r="DV218" s="89">
        <f t="shared" ca="1" si="236"/>
        <v>3.7059820311051844E-3</v>
      </c>
      <c r="DW218" s="72">
        <f t="shared" ca="1" si="237"/>
        <v>-0.58104014964747697</v>
      </c>
      <c r="DX218" s="37"/>
      <c r="DY218" s="35">
        <f t="shared" si="247"/>
        <v>2.4094720491334716E-2</v>
      </c>
      <c r="DZ218" s="56"/>
      <c r="EA218" s="56"/>
      <c r="EC218" s="2" t="e" vm="220">
        <v>#VALUE!</v>
      </c>
      <c r="EE218" s="10" cm="1">
        <f t="array" aca="1" ref="EE218" ca="1">_FV(EC218,"Ações em circulação",TRUE)</f>
        <v>681322800</v>
      </c>
      <c r="EF218" s="18">
        <f>VLOOKUP(BM218,Fundamentus!A:U,5,FALSE)</f>
        <v>2.0750000000000002</v>
      </c>
      <c r="EG218" s="2">
        <f t="shared" ca="1" si="238"/>
        <v>1717261804.3373494</v>
      </c>
      <c r="EH218" s="17">
        <v>1058176723.8326746</v>
      </c>
      <c r="EI218" s="17">
        <f t="shared" ca="1" si="239"/>
        <v>1058176723.8326746</v>
      </c>
      <c r="EK218" s="16">
        <f t="shared" ca="1" si="226"/>
        <v>0</v>
      </c>
      <c r="EL218" s="32" t="str">
        <f>IF(VLOOKUP(BM218,Fundamentus!A:U,3,FALSE)&lt;15,"Bom",IF(VLOOKUP(BM218,Fundamentus!A:U,3,FALSE)&gt;15,"Ruim","n/a"))</f>
        <v>Bom</v>
      </c>
      <c r="EM218" s="28" t="str">
        <f>IF(VLOOKUP(BM218,Fundamentus!A:U,4,FALSE)&lt;1,"Baixo",IF(VLOOKUP(BM218,Fundamentus!A:U,4,FALSE)&lt;1.5,"Moderado",IF(VLOOKUP(BM218,Fundamentus!A:U,4,FALSE)&gt;1.5,"Alto","n/a")))</f>
        <v>Baixo</v>
      </c>
      <c r="EN218" s="17" t="str">
        <f>IF(VLOOKUP(BM218,Fundamentus!A:U,8,FALSE)&lt;0,"Risco elevado",IF(VLOOKUP(BM218,Fundamentus!A:U,8,FALSE)&lt;1,"Saudável",IF(VLOOKUP(BM218,Fundamentus!A:U,8,FALSE)&lt;3,"Estável",IF(VLOOKUP(BM218,Fundamentus!A:U,8,FALSE)&gt;3,"Alerta","n/a"))))</f>
        <v>Estável</v>
      </c>
      <c r="EO218" s="28" t="str">
        <f t="shared" si="240"/>
        <v>Bom</v>
      </c>
      <c r="EP218" s="17" t="str">
        <f>IF(VLOOKUP(BM218,Fundamentus!A:U,12,FALSE)&lt;2,"Subvalorizada",IF(VLOOKUP(BM218,Fundamentus!A:U,12,FALSE)&lt;6,"Muita barata",IF(VLOOKUP(BM218,Fundamentus!A:U,12,FALSE)&lt;6,"Barata",IF(VLOOKUP(BM218,Fundamentus!A:U,12,FALSE)&lt;8,"Atrativa",IF(VLOOKUP(BM218,Fundamentus!A:U,12,FALSE)&gt;8,"Supervalorizada","n/a")))))</f>
        <v>Supervalorizada</v>
      </c>
      <c r="ER218" s="17" t="str">
        <f>IF(VLOOKUP(BM218,Fundamentus!A:U,17,FALSE)&lt;0.1,"Fraco retorno",IF(VLOOKUP(BM218,Fundamentus!A:U,17,FALSE)&gt;0.1,"Bom retorno","n/a"))</f>
        <v>Bom retorno</v>
      </c>
      <c r="ES218" s="17" t="str">
        <f>IF(VLOOKUP(BM218,Fundamentus!A:U,16,FALSE)&lt;0.1,"Ineficiente",IF(VLOOKUP(BM218,Fundamentus!A:U,16,FALSE)&gt;0.1,"Eficiente","n/a"))</f>
        <v>Ineficiente</v>
      </c>
      <c r="ET218" s="33" t="str">
        <f>IF(VLOOKUP(BM218,Fundamentus!A:U,16,FALSE)&lt;0.1,"Oper. Ineficiente",IF(VLOOKUP(BM218,Fundamentus!A:U,16,FALSE)&gt;0.1,"Oper.Eficiente","n/a"))</f>
        <v>Oper. Ineficiente</v>
      </c>
      <c r="EU218" s="34">
        <f>VLOOKUP(BM218,Fundamentus!A:U,14,FALSE)</f>
        <v>0.61619999999999997</v>
      </c>
      <c r="EV218" s="17" t="str">
        <f>IF(VLOOKUP(BM218,Fundamentus!A:U,21,FALSE)&lt;0,"Negativo",IF(VLOOKUP(BM218,Fundamentus!A:U,21,FALSE)&lt;0.05,"Fraco",IF(VLOOKUP(BM218,Fundamentus!A:U,21,FALSE)&lt;0.1,"Bom",IF(VLOOKUP(BM218,Fundamentus!A:U,21,FALSE)&gt;0.1,"Muito bom","n/a"))))</f>
        <v>Fraco</v>
      </c>
      <c r="EX218" s="29" t="str">
        <f>IF(VLOOKUP(BM218,Fundamentus!A:U,15,FALSE)&gt;1,"Bom",IF(VLOOKUP(BM218,Fundamentus!A:U,15,FALSE)&lt;1,"Ruim","n/a"))</f>
        <v>Bom</v>
      </c>
      <c r="EY218" s="17" t="str">
        <f>IF(VLOOKUP(BM218,Fundamentus!A:U,20,FALSE)&lt;0.5,"Baixa",IF(VLOOKUP(BM218,Fundamentus!A:U,20,FALSE)&lt;1,"Moderada",IF(VLOOKUP(BM218,Fundamentus!A:U,20,FALSE)&lt;2,"Alerta",IF(VLOOKUP(BM218,Fundamentus!A:U,20,FALSE)&gt;2,"Alta","n/a"))))</f>
        <v>Moderada</v>
      </c>
    </row>
    <row r="219" spans="1:156" s="2" customFormat="1" ht="11.25" x14ac:dyDescent="0.2">
      <c r="A219" s="4">
        <v>6.05</v>
      </c>
      <c r="B219" s="4">
        <v>6.23</v>
      </c>
      <c r="C219" s="4">
        <v>6.42</v>
      </c>
      <c r="D219" s="4">
        <v>6.14</v>
      </c>
      <c r="E219" s="4">
        <v>6.03</v>
      </c>
      <c r="F219" s="4">
        <v>5.8</v>
      </c>
      <c r="G219" s="4">
        <v>5.39</v>
      </c>
      <c r="H219" s="4">
        <v>5.49</v>
      </c>
      <c r="I219" s="4">
        <v>5.34</v>
      </c>
      <c r="J219" s="4">
        <v>6.88</v>
      </c>
      <c r="K219" s="4">
        <v>6.77</v>
      </c>
      <c r="L219" s="4">
        <v>6.37</v>
      </c>
      <c r="M219" s="4">
        <v>6.39</v>
      </c>
      <c r="N219" s="4">
        <v>6.54</v>
      </c>
      <c r="O219" s="4">
        <v>6.66</v>
      </c>
      <c r="P219" s="4">
        <v>6.5</v>
      </c>
      <c r="Q219" s="4">
        <v>6.93</v>
      </c>
      <c r="R219" s="4">
        <v>6.17</v>
      </c>
      <c r="S219" s="4">
        <v>5.94</v>
      </c>
      <c r="T219" s="4">
        <v>5.96</v>
      </c>
      <c r="U219" s="4">
        <v>5.31</v>
      </c>
      <c r="V219" s="4">
        <v>5.26</v>
      </c>
      <c r="W219" s="4">
        <v>5.24</v>
      </c>
      <c r="X219" s="4">
        <v>4.99</v>
      </c>
      <c r="Y219" s="4">
        <v>5.05</v>
      </c>
      <c r="Z219" s="4">
        <v>5.3</v>
      </c>
      <c r="AA219" s="4">
        <v>4.9800000000000004</v>
      </c>
      <c r="AB219" s="4">
        <v>5.15</v>
      </c>
      <c r="AC219" s="4">
        <v>5.05</v>
      </c>
      <c r="AD219" s="4">
        <v>5.45</v>
      </c>
      <c r="AE219" s="4">
        <v>4.62</v>
      </c>
      <c r="AF219" s="4">
        <v>4.0199999999999996</v>
      </c>
      <c r="AG219" s="4">
        <v>3.71</v>
      </c>
      <c r="AH219" s="4">
        <v>3.59</v>
      </c>
      <c r="AI219" s="4">
        <v>3.52</v>
      </c>
      <c r="AJ219" s="4">
        <v>3.41</v>
      </c>
      <c r="AK219" s="4">
        <v>3.36</v>
      </c>
      <c r="AL219" s="4">
        <v>3.3</v>
      </c>
      <c r="AM219" s="4">
        <v>3.25</v>
      </c>
      <c r="AN219" s="4">
        <v>3.61</v>
      </c>
      <c r="AO219" s="4">
        <v>3.26</v>
      </c>
      <c r="AP219" s="4">
        <v>3.96</v>
      </c>
      <c r="AQ219" s="4">
        <v>3.6</v>
      </c>
      <c r="AR219" s="4">
        <v>3.12</v>
      </c>
      <c r="AS219" s="4">
        <v>3.28</v>
      </c>
      <c r="AT219" s="4">
        <v>3.65</v>
      </c>
      <c r="AU219" s="4">
        <v>4.1449999999999996</v>
      </c>
      <c r="AV219" s="4">
        <v>4.37</v>
      </c>
      <c r="AW219" s="4">
        <v>4.37</v>
      </c>
      <c r="AX219" s="4">
        <v>4.6900000000000004</v>
      </c>
      <c r="AY219" s="12">
        <v>4.9800000000000004</v>
      </c>
      <c r="AZ219" s="12">
        <v>5.65</v>
      </c>
      <c r="BA219" s="12">
        <v>5.36</v>
      </c>
      <c r="BB219" s="15">
        <v>5.09</v>
      </c>
      <c r="BC219" s="52">
        <v>4.83</v>
      </c>
      <c r="BD219" s="52">
        <v>4.7</v>
      </c>
      <c r="BE219" s="52">
        <v>5.33</v>
      </c>
      <c r="BF219" s="52">
        <v>5.09</v>
      </c>
      <c r="BG219" s="67">
        <v>5.52</v>
      </c>
      <c r="BH219" s="52">
        <v>5.49</v>
      </c>
      <c r="BI219" s="52">
        <v>5.03</v>
      </c>
      <c r="BJ219" s="52">
        <v>4.82</v>
      </c>
      <c r="BK219" s="52">
        <v>4.4400000000000004</v>
      </c>
      <c r="BL219" s="52" cm="1">
        <f t="array" aca="1" ref="BL219" ca="1">_FV(EC219,"Preço")</f>
        <v>4.4400000000000004</v>
      </c>
      <c r="BM219" s="69" t="s">
        <v>215</v>
      </c>
      <c r="BN219" s="36" cm="1">
        <f t="array" aca="1" ref="BN219" ca="1">_FV(EC219,"Média de volume",TRUE)</f>
        <v>4580940</v>
      </c>
      <c r="BO219" s="36">
        <v>5309200</v>
      </c>
      <c r="BP219" s="36" cm="1">
        <f t="array" aca="1" ref="BP219" ca="1">_FV(EC219,"Volume")</f>
        <v>5309200</v>
      </c>
      <c r="BQ219" s="24" cm="1">
        <f t="array" aca="1" ref="BQ219" ca="1">_FV(EC219,"Beta")</f>
        <v>1.6014999999999999</v>
      </c>
      <c r="BR219" s="71" cm="1">
        <f t="array" aca="1" ref="BR219" ca="1">_FV(EC219,"Variação (%)",TRUE)</f>
        <v>-4.7210000000000002E-2</v>
      </c>
      <c r="BT219" s="17" cm="1">
        <f t="array" aca="1" ref="BT219" ca="1">_FV(EC219,"Baixo")</f>
        <v>4.37</v>
      </c>
      <c r="BU219" s="17" cm="1">
        <f t="array" aca="1" ref="BU219" ca="1">_FV(EC219,"Alto")</f>
        <v>4.68</v>
      </c>
      <c r="BV219" s="24"/>
      <c r="BW219" s="63" t="e">
        <f ca="1">SQRT(22.5*(BL219/VLOOKUP(BM219,Fundamentus!A:U,3,FALSE))*(BL219/VLOOKUP(BM219,Fundamentus!A:U,4,FALSE)))</f>
        <v>#NUM!</v>
      </c>
      <c r="BY219" s="62">
        <f t="shared" ca="1" si="241"/>
        <v>0</v>
      </c>
      <c r="BZ219" s="8"/>
      <c r="CA219" s="61">
        <f t="shared" si="242"/>
        <v>3.12</v>
      </c>
      <c r="CB219" s="61">
        <f t="shared" si="243"/>
        <v>6.93</v>
      </c>
      <c r="CC219" s="61">
        <f t="shared" si="244"/>
        <v>5.0308730158730155</v>
      </c>
      <c r="CD219" s="14"/>
      <c r="CE219" s="35">
        <f t="shared" si="227"/>
        <v>4.0286017103173375</v>
      </c>
      <c r="CF219" s="15">
        <f t="shared" si="245"/>
        <v>4.7770000000000437</v>
      </c>
      <c r="CG219" s="35">
        <f t="shared" si="228"/>
        <v>5.5253982896827498</v>
      </c>
      <c r="CI219" s="14"/>
      <c r="CJ219" s="17">
        <f t="shared" si="229"/>
        <v>-0.82666666666666533</v>
      </c>
      <c r="CK219" s="17">
        <f t="shared" si="230"/>
        <v>1.1466666666666674</v>
      </c>
      <c r="CL219" s="17">
        <f t="shared" si="231"/>
        <v>2.9833333333333343</v>
      </c>
      <c r="CM219" s="38">
        <f t="shared" si="246"/>
        <v>4.956666666666667</v>
      </c>
      <c r="CN219" s="17">
        <f t="shared" si="232"/>
        <v>6.7933333333333339</v>
      </c>
      <c r="CO219" s="17">
        <f t="shared" si="233"/>
        <v>8.7666666666666657</v>
      </c>
      <c r="CP219" s="17">
        <f t="shared" si="234"/>
        <v>10.603333333333333</v>
      </c>
      <c r="CQ219" s="2" cm="1">
        <f t="array" aca="1" ref="CQ219" ca="1">MAX(_xlfn._xlws.FILTER(CJ219:CP219,CJ219:CP219&lt;BL219))</f>
        <v>2.9833333333333343</v>
      </c>
      <c r="CR219" s="2" cm="1">
        <f t="array" aca="1" ref="CR219" ca="1">MIN(_xlfn._xlws.FILTER($CJ219:$CP219,$CJ219:$CP219&gt;BL219))</f>
        <v>4.956666666666667</v>
      </c>
      <c r="CS219" s="16">
        <f t="shared" ca="1" si="248"/>
        <v>0.66145251396647997</v>
      </c>
      <c r="CT219" s="20">
        <f t="shared" ca="1" si="249"/>
        <v>-0.33072625698323999</v>
      </c>
      <c r="CU219" s="20">
        <f t="shared" ca="1" si="250"/>
        <v>-0.22048417132216</v>
      </c>
      <c r="CV219" s="20">
        <f t="shared" ca="1" si="251"/>
        <v>-0.13229050279329599</v>
      </c>
      <c r="CW219" s="20">
        <f t="shared" ca="1" si="252"/>
        <v>-7.3494723774053333E-2</v>
      </c>
      <c r="CX219" s="20">
        <f t="shared" ca="1" si="253"/>
        <v>-3.8908971409792936E-2</v>
      </c>
      <c r="CY219" s="20">
        <f t="shared" ca="1" si="254"/>
        <v>-2.0044015574741818E-2</v>
      </c>
      <c r="CZ219" s="20">
        <f t="shared" ca="1" si="255"/>
        <v>-1.0176192522561231E-2</v>
      </c>
      <c r="DA219" s="21">
        <f t="shared" ca="1" si="256"/>
        <v>1.0176192522561231E-2</v>
      </c>
      <c r="DB219" s="21">
        <f t="shared" ca="1" si="257"/>
        <v>2.0044015574741818E-2</v>
      </c>
      <c r="DC219" s="21">
        <f t="shared" ca="1" si="258"/>
        <v>3.8908971409792936E-2</v>
      </c>
      <c r="DD219" s="21">
        <f t="shared" ca="1" si="259"/>
        <v>7.3494723774053333E-2</v>
      </c>
      <c r="DE219" s="21">
        <f t="shared" ca="1" si="260"/>
        <v>0.13229050279329599</v>
      </c>
      <c r="DF219" s="21">
        <f t="shared" ca="1" si="261"/>
        <v>0.22048417132216</v>
      </c>
      <c r="DG219" s="21">
        <f t="shared" ca="1" si="262"/>
        <v>0.33072625698323999</v>
      </c>
      <c r="DI219" s="16" cm="1">
        <f t="array" aca="1" ref="DI219" ca="1">MAX(_xlfn._xlws.FILTER(CT219:DG219,CT219:DG219&lt;BR219))</f>
        <v>-7.3494723774053333E-2</v>
      </c>
      <c r="DJ219" s="16" cm="1">
        <f t="array" aca="1" ref="DJ219" ca="1">MIN(_xlfn._xlws.FILTER(CT219:DG219,CT219:DG219&gt;BR219))</f>
        <v>-3.8908971409792936E-2</v>
      </c>
      <c r="DK219" s="2" cm="1">
        <f t="array" aca="1" ref="DK219" ca="1">_FV(EC219,"Fechamento anterior",TRUE)</f>
        <v>4.66</v>
      </c>
      <c r="DL219" s="28">
        <f t="shared" ca="1" si="235"/>
        <v>0.75997835952905646</v>
      </c>
      <c r="DM219" s="15">
        <f t="shared" ca="1" si="263"/>
        <v>4.3175145872129113</v>
      </c>
      <c r="DN219" s="15">
        <f t="shared" ca="1" si="264"/>
        <v>4.4786841932303654</v>
      </c>
      <c r="DO219" s="9"/>
      <c r="DP219" s="9"/>
      <c r="DQ219" s="9"/>
      <c r="DR219" s="89">
        <v>2.1492441557400037E-2</v>
      </c>
      <c r="DS219" s="89">
        <v>2.0854584608409842E-2</v>
      </c>
      <c r="DT219" s="89">
        <v>1.8864955835051118E-2</v>
      </c>
      <c r="DU219" s="89">
        <v>3.4585752364260397E-2</v>
      </c>
      <c r="DV219" s="89">
        <f t="shared" ca="1" si="236"/>
        <v>3.4585752364260397E-2</v>
      </c>
      <c r="DW219" s="72">
        <f t="shared" ca="1" si="237"/>
        <v>-0.45029498950741736</v>
      </c>
      <c r="DX219" s="37"/>
      <c r="DY219" s="35">
        <f t="shared" si="247"/>
        <v>0.37419914484135297</v>
      </c>
      <c r="DZ219" s="56"/>
      <c r="EA219" s="56"/>
      <c r="EC219" s="2" t="e" vm="221">
        <v>#VALUE!</v>
      </c>
      <c r="EE219" s="10" cm="1">
        <f t="array" aca="1" ref="EE219" ca="1">_FV(EC219,"Ações em circulação",TRUE)</f>
        <v>873040500</v>
      </c>
      <c r="EF219" s="18">
        <f>VLOOKUP(BM219,Fundamentus!A:U,5,FALSE)</f>
        <v>0.114</v>
      </c>
      <c r="EG219" s="2">
        <f t="shared" ca="1" si="238"/>
        <v>34002630000.000004</v>
      </c>
      <c r="EH219" s="17">
        <v>13601052.000000002</v>
      </c>
      <c r="EI219" s="17">
        <f t="shared" ca="1" si="239"/>
        <v>13601052.000000002</v>
      </c>
      <c r="EK219" s="16">
        <f t="shared" ca="1" si="226"/>
        <v>0</v>
      </c>
      <c r="EL219" s="32" t="str">
        <f>IF(VLOOKUP(BM219,Fundamentus!A:U,3,FALSE)&lt;15,"Bom",IF(VLOOKUP(BM219,Fundamentus!A:U,3,FALSE)&gt;15,"Ruim","n/a"))</f>
        <v>Bom</v>
      </c>
      <c r="EM219" s="28" t="str">
        <f>IF(VLOOKUP(BM219,Fundamentus!A:U,4,FALSE)&lt;1,"Baixo",IF(VLOOKUP(BM219,Fundamentus!A:U,4,FALSE)&lt;1.5,"Moderado",IF(VLOOKUP(BM219,Fundamentus!A:U,4,FALSE)&gt;1.5,"Alto","n/a")))</f>
        <v>Alto</v>
      </c>
      <c r="EN219" s="17" t="str">
        <f>IF(VLOOKUP(BM219,Fundamentus!A:U,8,FALSE)&lt;0,"Risco elevado",IF(VLOOKUP(BM219,Fundamentus!A:U,8,FALSE)&lt;1,"Saudável",IF(VLOOKUP(BM219,Fundamentus!A:U,8,FALSE)&lt;3,"Estável",IF(VLOOKUP(BM219,Fundamentus!A:U,8,FALSE)&gt;3,"Alerta","n/a"))))</f>
        <v>Saudável</v>
      </c>
      <c r="EO219" s="28" t="str">
        <f t="shared" si="240"/>
        <v>Ruim</v>
      </c>
      <c r="EP219" s="17" t="str">
        <f>IF(VLOOKUP(BM219,Fundamentus!A:U,12,FALSE)&lt;2,"Subvalorizada",IF(VLOOKUP(BM219,Fundamentus!A:U,12,FALSE)&lt;6,"Muita barata",IF(VLOOKUP(BM219,Fundamentus!A:U,12,FALSE)&lt;6,"Barata",IF(VLOOKUP(BM219,Fundamentus!A:U,12,FALSE)&lt;8,"Atrativa",IF(VLOOKUP(BM219,Fundamentus!A:U,12,FALSE)&gt;8,"Supervalorizada","n/a")))))</f>
        <v>Muita barata</v>
      </c>
      <c r="ER219" s="17" t="str">
        <f>IF(VLOOKUP(BM219,Fundamentus!A:U,17,FALSE)&lt;0.1,"Fraco retorno",IF(VLOOKUP(BM219,Fundamentus!A:U,17,FALSE)&gt;0.1,"Bom retorno","n/a"))</f>
        <v>Fraco retorno</v>
      </c>
      <c r="ES219" s="17" t="str">
        <f>IF(VLOOKUP(BM219,Fundamentus!A:U,16,FALSE)&lt;0.1,"Ineficiente",IF(VLOOKUP(BM219,Fundamentus!A:U,16,FALSE)&gt;0.1,"Eficiente","n/a"))</f>
        <v>Eficiente</v>
      </c>
      <c r="ET219" s="33" t="str">
        <f>IF(VLOOKUP(BM219,Fundamentus!A:U,16,FALSE)&lt;0.1,"Oper. Ineficiente",IF(VLOOKUP(BM219,Fundamentus!A:U,16,FALSE)&gt;0.1,"Oper.Eficiente","n/a"))</f>
        <v>Oper.Eficiente</v>
      </c>
      <c r="EU219" s="34">
        <f>VLOOKUP(BM219,Fundamentus!A:U,14,FALSE)</f>
        <v>4.0000000000000002E-4</v>
      </c>
      <c r="EV219" s="17" t="str">
        <f>IF(VLOOKUP(BM219,Fundamentus!A:U,21,FALSE)&lt;0,"Negativo",IF(VLOOKUP(BM219,Fundamentus!A:U,21,FALSE)&lt;0.05,"Fraco",IF(VLOOKUP(BM219,Fundamentus!A:U,21,FALSE)&lt;0.1,"Bom",IF(VLOOKUP(BM219,Fundamentus!A:U,21,FALSE)&gt;0.1,"Muito bom","n/a"))))</f>
        <v>Muito bom</v>
      </c>
      <c r="EX219" s="29" t="str">
        <f>IF(VLOOKUP(BM219,Fundamentus!A:U,15,FALSE)&gt;1,"Bom",IF(VLOOKUP(BM219,Fundamentus!A:U,15,FALSE)&lt;1,"Ruim","n/a"))</f>
        <v>Bom</v>
      </c>
      <c r="EY219" s="17" t="str">
        <f>IF(VLOOKUP(BM219,Fundamentus!A:U,20,FALSE)&lt;0.5,"Baixa",IF(VLOOKUP(BM219,Fundamentus!A:U,20,FALSE)&lt;1,"Moderada",IF(VLOOKUP(BM219,Fundamentus!A:U,20,FALSE)&lt;2,"Alerta",IF(VLOOKUP(BM219,Fundamentus!A:U,20,FALSE)&gt;2,"Alta","n/a"))))</f>
        <v>Alta</v>
      </c>
    </row>
    <row r="220" spans="1:156" s="2" customFormat="1" ht="11.25" x14ac:dyDescent="0.2">
      <c r="A220" s="4">
        <v>8.76</v>
      </c>
      <c r="B220" s="4">
        <v>8.14</v>
      </c>
      <c r="C220" s="4">
        <v>7.73</v>
      </c>
      <c r="D220" s="4">
        <v>7.57</v>
      </c>
      <c r="E220" s="4">
        <v>7.56</v>
      </c>
      <c r="F220" s="4">
        <v>7.14</v>
      </c>
      <c r="G220" s="4">
        <v>6.8</v>
      </c>
      <c r="H220" s="4">
        <v>6.45</v>
      </c>
      <c r="I220" s="4">
        <v>6.92</v>
      </c>
      <c r="J220" s="4">
        <v>7.3</v>
      </c>
      <c r="K220" s="4">
        <v>7.58</v>
      </c>
      <c r="L220" s="4">
        <v>7.34</v>
      </c>
      <c r="M220" s="4">
        <v>7.04</v>
      </c>
      <c r="N220" s="4">
        <v>7.07</v>
      </c>
      <c r="O220" s="4">
        <v>8.1</v>
      </c>
      <c r="P220" s="4">
        <v>8.5299999999999994</v>
      </c>
      <c r="Q220" s="4">
        <v>8.92</v>
      </c>
      <c r="R220" s="4">
        <v>8.66</v>
      </c>
      <c r="S220" s="4">
        <v>8.8800000000000008</v>
      </c>
      <c r="T220" s="4">
        <v>8.93</v>
      </c>
      <c r="U220" s="4">
        <v>8.16</v>
      </c>
      <c r="V220" s="4">
        <v>8.09</v>
      </c>
      <c r="W220" s="4">
        <v>7.57</v>
      </c>
      <c r="X220" s="4">
        <v>8.16</v>
      </c>
      <c r="Y220" s="4">
        <v>7.87</v>
      </c>
      <c r="Z220" s="4">
        <v>8.15</v>
      </c>
      <c r="AA220" s="4">
        <v>8.3699999999999992</v>
      </c>
      <c r="AB220" s="4">
        <v>8.3000000000000007</v>
      </c>
      <c r="AC220" s="4">
        <v>8.01</v>
      </c>
      <c r="AD220" s="4">
        <v>8.25</v>
      </c>
      <c r="AE220" s="4">
        <v>6.97</v>
      </c>
      <c r="AF220" s="4">
        <v>6.75</v>
      </c>
      <c r="AG220" s="4">
        <v>6.5</v>
      </c>
      <c r="AH220" s="4">
        <v>6.19</v>
      </c>
      <c r="AI220" s="4">
        <v>6.15</v>
      </c>
      <c r="AJ220" s="4">
        <v>5.83</v>
      </c>
      <c r="AK220" s="4">
        <v>5.71</v>
      </c>
      <c r="AL220" s="4">
        <v>5.85</v>
      </c>
      <c r="AM220" s="4">
        <v>6.28</v>
      </c>
      <c r="AN220" s="4">
        <v>6.51</v>
      </c>
      <c r="AO220" s="4">
        <v>6.21</v>
      </c>
      <c r="AP220" s="4">
        <v>6.77</v>
      </c>
      <c r="AQ220" s="4">
        <v>6.72</v>
      </c>
      <c r="AR220" s="4">
        <v>6.14</v>
      </c>
      <c r="AS220" s="4">
        <v>6.75</v>
      </c>
      <c r="AT220" s="4">
        <v>7.4</v>
      </c>
      <c r="AU220" s="4">
        <v>7.11</v>
      </c>
      <c r="AV220" s="4">
        <v>6.77</v>
      </c>
      <c r="AW220" s="4">
        <v>6.44</v>
      </c>
      <c r="AX220" s="4">
        <v>6.59</v>
      </c>
      <c r="AY220" s="12">
        <v>7.57</v>
      </c>
      <c r="AZ220" s="12">
        <v>8.11</v>
      </c>
      <c r="BA220" s="12">
        <v>8.14</v>
      </c>
      <c r="BB220" s="15">
        <v>8.11</v>
      </c>
      <c r="BC220" s="52">
        <v>8.06</v>
      </c>
      <c r="BD220" s="52">
        <v>8.11</v>
      </c>
      <c r="BE220" s="52">
        <v>8.5399999999999991</v>
      </c>
      <c r="BF220" s="52">
        <v>8.1</v>
      </c>
      <c r="BG220" s="67">
        <v>8.01</v>
      </c>
      <c r="BH220" s="52">
        <v>8.02</v>
      </c>
      <c r="BI220" s="52">
        <v>8.48</v>
      </c>
      <c r="BJ220" s="52">
        <v>8.83</v>
      </c>
      <c r="BK220" s="52">
        <v>7.95</v>
      </c>
      <c r="BL220" s="52" cm="1">
        <f t="array" aca="1" ref="BL220" ca="1">_FV(EC220,"Preço")</f>
        <v>7.95</v>
      </c>
      <c r="BM220" s="69" t="s">
        <v>216</v>
      </c>
      <c r="BN220" s="36" cm="1">
        <f t="array" aca="1" ref="BN220" ca="1">_FV(EC220,"Média de volume",TRUE)</f>
        <v>653160</v>
      </c>
      <c r="BO220" s="36">
        <v>640000</v>
      </c>
      <c r="BP220" s="36" cm="1">
        <f t="array" aca="1" ref="BP220" ca="1">_FV(EC220,"Volume")</f>
        <v>640000</v>
      </c>
      <c r="BQ220" s="24" cm="1">
        <f t="array" aca="1" ref="BQ220" ca="1">_FV(EC220,"Beta")</f>
        <v>2.1972</v>
      </c>
      <c r="BR220" s="71" cm="1">
        <f t="array" aca="1" ref="BR220" ca="1">_FV(EC220,"Variação (%)",TRUE)</f>
        <v>-4.1013000000000001E-2</v>
      </c>
      <c r="BT220" s="17" cm="1">
        <f t="array" aca="1" ref="BT220" ca="1">_FV(EC220,"Baixo")</f>
        <v>7.95</v>
      </c>
      <c r="BU220" s="17" cm="1">
        <f t="array" aca="1" ref="BU220" ca="1">_FV(EC220,"Alto")</f>
        <v>8.26</v>
      </c>
      <c r="BV220" s="24"/>
      <c r="BW220" s="63">
        <f ca="1">SQRT(22.5*(BL220/VLOOKUP(BM220,Fundamentus!A:U,3,FALSE))*(BL220/VLOOKUP(BM220,Fundamentus!A:U,4,FALSE)))</f>
        <v>12.504507357032413</v>
      </c>
      <c r="BY220" s="62">
        <f t="shared" ca="1" si="241"/>
        <v>0</v>
      </c>
      <c r="BZ220" s="8"/>
      <c r="CA220" s="61">
        <f t="shared" si="242"/>
        <v>5.71</v>
      </c>
      <c r="CB220" s="61">
        <f t="shared" si="243"/>
        <v>8.93</v>
      </c>
      <c r="CC220" s="61">
        <f t="shared" si="244"/>
        <v>7.4923809523809499</v>
      </c>
      <c r="CD220" s="14"/>
      <c r="CE220" s="35">
        <f t="shared" si="227"/>
        <v>7.6891477008306888</v>
      </c>
      <c r="CF220" s="15">
        <f t="shared" si="245"/>
        <v>8.326999999999984</v>
      </c>
      <c r="CG220" s="35">
        <f t="shared" si="228"/>
        <v>8.9648522991692783</v>
      </c>
      <c r="CI220" s="14"/>
      <c r="CJ220" s="17">
        <f t="shared" si="229"/>
        <v>3.496666666666667</v>
      </c>
      <c r="CK220" s="17">
        <f t="shared" si="230"/>
        <v>4.6033333333333335</v>
      </c>
      <c r="CL220" s="17">
        <f t="shared" si="231"/>
        <v>6.7166666666666668</v>
      </c>
      <c r="CM220" s="38">
        <f t="shared" si="246"/>
        <v>7.8233333333333333</v>
      </c>
      <c r="CN220" s="17">
        <f t="shared" si="232"/>
        <v>9.9366666666666674</v>
      </c>
      <c r="CO220" s="17">
        <f t="shared" si="233"/>
        <v>11.043333333333333</v>
      </c>
      <c r="CP220" s="17">
        <f t="shared" si="234"/>
        <v>13.156666666666666</v>
      </c>
      <c r="CQ220" s="2" cm="1">
        <f t="array" aca="1" ref="CQ220" ca="1">MAX(_xlfn._xlws.FILTER(CJ220:CP220,CJ220:CP220&lt;BL220))</f>
        <v>7.8233333333333333</v>
      </c>
      <c r="CR220" s="2" cm="1">
        <f t="array" aca="1" ref="CR220" ca="1">MIN(_xlfn._xlws.FILTER($CJ220:$CP220,$CJ220:$CP220&gt;BL220))</f>
        <v>9.9366666666666674</v>
      </c>
      <c r="CS220" s="16">
        <f t="shared" ca="1" si="248"/>
        <v>0.27013208351086515</v>
      </c>
      <c r="CT220" s="20">
        <f t="shared" ca="1" si="249"/>
        <v>-0.13506604175543258</v>
      </c>
      <c r="CU220" s="20">
        <f t="shared" ca="1" si="250"/>
        <v>-9.0044027836955046E-2</v>
      </c>
      <c r="CV220" s="20">
        <f t="shared" ca="1" si="251"/>
        <v>-5.4026416702173029E-2</v>
      </c>
      <c r="CW220" s="20">
        <f t="shared" ca="1" si="252"/>
        <v>-3.0014675945651683E-2</v>
      </c>
      <c r="CX220" s="20">
        <f t="shared" ca="1" si="253"/>
        <v>-1.5890122559462656E-2</v>
      </c>
      <c r="CY220" s="20">
        <f t="shared" ca="1" si="254"/>
        <v>-8.1858207124504596E-3</v>
      </c>
      <c r="CZ220" s="20">
        <f t="shared" ca="1" si="255"/>
        <v>-4.155878207859464E-3</v>
      </c>
      <c r="DA220" s="21">
        <f t="shared" ca="1" si="256"/>
        <v>4.155878207859464E-3</v>
      </c>
      <c r="DB220" s="21">
        <f t="shared" ca="1" si="257"/>
        <v>8.1858207124504596E-3</v>
      </c>
      <c r="DC220" s="21">
        <f t="shared" ca="1" si="258"/>
        <v>1.5890122559462656E-2</v>
      </c>
      <c r="DD220" s="21">
        <f t="shared" ca="1" si="259"/>
        <v>3.0014675945651683E-2</v>
      </c>
      <c r="DE220" s="21">
        <f t="shared" ca="1" si="260"/>
        <v>5.4026416702173029E-2</v>
      </c>
      <c r="DF220" s="21">
        <f t="shared" ca="1" si="261"/>
        <v>9.0044027836955046E-2</v>
      </c>
      <c r="DG220" s="21">
        <f t="shared" ca="1" si="262"/>
        <v>0.13506604175543258</v>
      </c>
      <c r="DI220" s="16" cm="1">
        <f t="array" aca="1" ref="DI220" ca="1">MAX(_xlfn._xlws.FILTER(CT220:DG220,CT220:DG220&lt;BR220))</f>
        <v>-5.4026416702173029E-2</v>
      </c>
      <c r="DJ220" s="16" cm="1">
        <f t="array" aca="1" ref="DJ220" ca="1">MIN(_xlfn._xlws.FILTER(CT220:DG220,CT220:DG220&gt;BR220))</f>
        <v>-3.0014675945651683E-2</v>
      </c>
      <c r="DK220" s="2" cm="1">
        <f t="array" aca="1" ref="DK220" ca="1">_FV(EC220,"Fechamento anterior",TRUE)</f>
        <v>8.2899999999999991</v>
      </c>
      <c r="DL220" s="28">
        <f t="shared" ca="1" si="235"/>
        <v>0.54194936699227936</v>
      </c>
      <c r="DM220" s="15">
        <f t="shared" ca="1" si="263"/>
        <v>7.8421210055389849</v>
      </c>
      <c r="DN220" s="15">
        <f t="shared" ca="1" si="264"/>
        <v>8.041178336410546</v>
      </c>
      <c r="DO220" s="9"/>
      <c r="DP220" s="9"/>
      <c r="DQ220" s="9"/>
      <c r="DR220" s="89">
        <v>2.3817663817663835E-2</v>
      </c>
      <c r="DS220" s="89">
        <v>1.2742933818118864E-2</v>
      </c>
      <c r="DT220" s="89">
        <v>4.0299425045909956E-3</v>
      </c>
      <c r="DU220" s="89">
        <v>2.4011740756521346E-2</v>
      </c>
      <c r="DV220" s="89">
        <f t="shared" ca="1" si="236"/>
        <v>2.4011740756521346E-2</v>
      </c>
      <c r="DW220" s="72">
        <f t="shared" ca="1" si="237"/>
        <v>-0.59104592158869451</v>
      </c>
      <c r="DX220" s="37"/>
      <c r="DY220" s="35">
        <f t="shared" si="247"/>
        <v>0.31892614958464754</v>
      </c>
      <c r="DZ220" s="56"/>
      <c r="EA220" s="56"/>
      <c r="EC220" s="2" t="e" vm="222">
        <v>#VALUE!</v>
      </c>
      <c r="EE220" s="10" cm="1">
        <f t="array" aca="1" ref="EE220" ca="1">_FV(EC220,"Ações em circulação",TRUE)</f>
        <v>499200000</v>
      </c>
      <c r="EF220" s="18">
        <f>VLOOKUP(BM220,Fundamentus!A:U,5,FALSE)</f>
        <v>0.40600000000000003</v>
      </c>
      <c r="EG220" s="2">
        <f t="shared" ca="1" si="238"/>
        <v>9774975369.458128</v>
      </c>
      <c r="EH220" s="17">
        <v>323551684.72906399</v>
      </c>
      <c r="EI220" s="17">
        <f t="shared" ca="1" si="239"/>
        <v>323551684.72906399</v>
      </c>
      <c r="EK220" s="16">
        <f t="shared" ca="1" si="226"/>
        <v>0</v>
      </c>
      <c r="EL220" s="32" t="str">
        <f>IF(VLOOKUP(BM220,Fundamentus!A:U,3,FALSE)&lt;15,"Bom",IF(VLOOKUP(BM220,Fundamentus!A:U,3,FALSE)&gt;15,"Ruim","n/a"))</f>
        <v>Bom</v>
      </c>
      <c r="EM220" s="28" t="str">
        <f>IF(VLOOKUP(BM220,Fundamentus!A:U,4,FALSE)&lt;1,"Baixo",IF(VLOOKUP(BM220,Fundamentus!A:U,4,FALSE)&lt;1.5,"Moderado",IF(VLOOKUP(BM220,Fundamentus!A:U,4,FALSE)&gt;1.5,"Alto","n/a")))</f>
        <v>Baixo</v>
      </c>
      <c r="EN220" s="17" t="str">
        <f>IF(VLOOKUP(BM220,Fundamentus!A:U,8,FALSE)&lt;0,"Risco elevado",IF(VLOOKUP(BM220,Fundamentus!A:U,8,FALSE)&lt;1,"Saudável",IF(VLOOKUP(BM220,Fundamentus!A:U,8,FALSE)&lt;3,"Estável",IF(VLOOKUP(BM220,Fundamentus!A:U,8,FALSE)&gt;3,"Alerta","n/a"))))</f>
        <v>Estável</v>
      </c>
      <c r="EO220" s="28" t="str">
        <f t="shared" si="240"/>
        <v>Ruim</v>
      </c>
      <c r="EP220" s="17" t="str">
        <f>IF(VLOOKUP(BM220,Fundamentus!A:U,12,FALSE)&lt;2,"Subvalorizada",IF(VLOOKUP(BM220,Fundamentus!A:U,12,FALSE)&lt;6,"Muita barata",IF(VLOOKUP(BM220,Fundamentus!A:U,12,FALSE)&lt;6,"Barata",IF(VLOOKUP(BM220,Fundamentus!A:U,12,FALSE)&lt;8,"Atrativa",IF(VLOOKUP(BM220,Fundamentus!A:U,12,FALSE)&gt;8,"Supervalorizada","n/a")))))</f>
        <v>Muita barata</v>
      </c>
      <c r="ER220" s="17" t="str">
        <f>IF(VLOOKUP(BM220,Fundamentus!A:U,17,FALSE)&lt;0.1,"Fraco retorno",IF(VLOOKUP(BM220,Fundamentus!A:U,17,FALSE)&gt;0.1,"Bom retorno","n/a"))</f>
        <v>Fraco retorno</v>
      </c>
      <c r="ES220" s="17" t="str">
        <f>IF(VLOOKUP(BM220,Fundamentus!A:U,16,FALSE)&lt;0.1,"Ineficiente",IF(VLOOKUP(BM220,Fundamentus!A:U,16,FALSE)&gt;0.1,"Eficiente","n/a"))</f>
        <v>Ineficiente</v>
      </c>
      <c r="ET220" s="33" t="str">
        <f>IF(VLOOKUP(BM220,Fundamentus!A:U,16,FALSE)&lt;0.1,"Oper. Ineficiente",IF(VLOOKUP(BM220,Fundamentus!A:U,16,FALSE)&gt;0.1,"Oper.Eficiente","n/a"))</f>
        <v>Oper. Ineficiente</v>
      </c>
      <c r="EU220" s="34">
        <f>VLOOKUP(BM220,Fundamentus!A:U,14,FALSE)</f>
        <v>3.3099999999999997E-2</v>
      </c>
      <c r="EV220" s="17" t="str">
        <f>IF(VLOOKUP(BM220,Fundamentus!A:U,21,FALSE)&lt;0,"Negativo",IF(VLOOKUP(BM220,Fundamentus!A:U,21,FALSE)&lt;0.05,"Fraco",IF(VLOOKUP(BM220,Fundamentus!A:U,21,FALSE)&lt;0.1,"Bom",IF(VLOOKUP(BM220,Fundamentus!A:U,21,FALSE)&gt;0.1,"Muito bom","n/a"))))</f>
        <v>Muito bom</v>
      </c>
      <c r="EX220" s="29" t="str">
        <f>IF(VLOOKUP(BM220,Fundamentus!A:U,15,FALSE)&gt;1,"Bom",IF(VLOOKUP(BM220,Fundamentus!A:U,15,FALSE)&lt;1,"Ruim","n/a"))</f>
        <v>Bom</v>
      </c>
      <c r="EY220" s="17" t="str">
        <f>IF(VLOOKUP(BM220,Fundamentus!A:U,20,FALSE)&lt;0.5,"Baixa",IF(VLOOKUP(BM220,Fundamentus!A:U,20,FALSE)&lt;1,"Moderada",IF(VLOOKUP(BM220,Fundamentus!A:U,20,FALSE)&lt;2,"Alerta",IF(VLOOKUP(BM220,Fundamentus!A:U,20,FALSE)&gt;2,"Alta","n/a"))))</f>
        <v>Baixa</v>
      </c>
    </row>
    <row r="221" spans="1:156" s="2" customFormat="1" ht="11.25" x14ac:dyDescent="0.2">
      <c r="A221" s="4">
        <v>0.76</v>
      </c>
      <c r="B221" s="4">
        <v>0.72</v>
      </c>
      <c r="C221" s="4">
        <v>0.62</v>
      </c>
      <c r="D221" s="4">
        <v>0.54</v>
      </c>
      <c r="E221" s="4">
        <v>0.46</v>
      </c>
      <c r="F221" s="4">
        <v>0.39</v>
      </c>
      <c r="G221" s="4">
        <v>0.36</v>
      </c>
      <c r="H221" s="4">
        <v>0.36</v>
      </c>
      <c r="I221" s="4">
        <v>0.37</v>
      </c>
      <c r="J221" s="4">
        <v>1.49</v>
      </c>
      <c r="K221" s="4">
        <v>1.98</v>
      </c>
      <c r="L221" s="4">
        <v>2.34</v>
      </c>
      <c r="M221" s="4">
        <v>2.2999999999999998</v>
      </c>
      <c r="N221" s="4">
        <v>1.96</v>
      </c>
      <c r="O221" s="4">
        <v>1.88</v>
      </c>
      <c r="P221" s="4">
        <v>1.64</v>
      </c>
      <c r="Q221" s="4">
        <v>1.64</v>
      </c>
      <c r="R221" s="4">
        <v>1.64</v>
      </c>
      <c r="S221" s="4">
        <v>1.64</v>
      </c>
      <c r="T221" s="4">
        <v>1.64</v>
      </c>
      <c r="U221" s="4">
        <v>1.64</v>
      </c>
      <c r="V221" s="4">
        <v>1.64</v>
      </c>
      <c r="W221" s="4">
        <v>1.64</v>
      </c>
      <c r="X221" s="4">
        <v>1.64</v>
      </c>
      <c r="Y221" s="4">
        <v>1.64</v>
      </c>
      <c r="Z221" s="4">
        <v>1.64</v>
      </c>
      <c r="AA221" s="4">
        <v>1.64</v>
      </c>
      <c r="AB221" s="4">
        <v>1.64</v>
      </c>
      <c r="AC221" s="4">
        <v>1.64</v>
      </c>
      <c r="AD221" s="4">
        <v>1.64</v>
      </c>
      <c r="AE221" s="4">
        <v>1.64</v>
      </c>
      <c r="AF221" s="4">
        <v>1.64</v>
      </c>
      <c r="AG221" s="4">
        <v>1.64</v>
      </c>
      <c r="AH221" s="4">
        <v>1.64</v>
      </c>
      <c r="AI221" s="4">
        <v>1.64</v>
      </c>
      <c r="AJ221" s="4">
        <v>1.64</v>
      </c>
      <c r="AK221" s="4">
        <v>1.64</v>
      </c>
      <c r="AL221" s="4">
        <v>1.64</v>
      </c>
      <c r="AM221" s="4">
        <v>1.64</v>
      </c>
      <c r="AN221" s="4">
        <v>1.64</v>
      </c>
      <c r="AO221" s="4">
        <v>1.64</v>
      </c>
      <c r="AP221" s="4">
        <v>1.64</v>
      </c>
      <c r="AQ221" s="4">
        <v>1.64</v>
      </c>
      <c r="AR221" s="4">
        <v>1.64</v>
      </c>
      <c r="AS221" s="4">
        <v>1.64</v>
      </c>
      <c r="AT221" s="4">
        <v>1.64</v>
      </c>
      <c r="AU221" s="4">
        <v>1.64</v>
      </c>
      <c r="AV221" s="4">
        <v>1.64</v>
      </c>
      <c r="AW221" s="4">
        <v>1.64</v>
      </c>
      <c r="AX221" s="4">
        <v>1.64</v>
      </c>
      <c r="AY221" s="12">
        <v>1.64</v>
      </c>
      <c r="AZ221" s="12">
        <v>1.64</v>
      </c>
      <c r="BA221" s="12">
        <v>1.64</v>
      </c>
      <c r="BB221" s="15">
        <v>1.64</v>
      </c>
      <c r="BC221" s="52">
        <v>1.64</v>
      </c>
      <c r="BD221" s="52">
        <v>1.64</v>
      </c>
      <c r="BE221" s="52">
        <v>1.64</v>
      </c>
      <c r="BF221" s="52">
        <v>1.64</v>
      </c>
      <c r="BG221" s="67">
        <v>1.64</v>
      </c>
      <c r="BH221" s="52">
        <v>1.64</v>
      </c>
      <c r="BI221" s="52">
        <v>1.64</v>
      </c>
      <c r="BJ221" s="52">
        <v>1.64</v>
      </c>
      <c r="BK221" s="52">
        <v>1.64</v>
      </c>
      <c r="BL221" s="52" cm="1">
        <f t="array" aca="1" ref="BL221" ca="1">_FV(EC221,"Preço")</f>
        <v>1.64</v>
      </c>
      <c r="BM221" s="69" t="s">
        <v>217</v>
      </c>
      <c r="BN221" s="36" t="e" cm="1" vm="3">
        <f t="array" ref="BN221">_FV(EC221,"Média de volume",TRUE)</f>
        <v>#VALUE!</v>
      </c>
      <c r="BO221" s="36">
        <v>19800</v>
      </c>
      <c r="BP221" s="36" cm="1">
        <f t="array" aca="1" ref="BP221" ca="1">_FV(EC221,"Volume")</f>
        <v>19800</v>
      </c>
      <c r="BQ221" s="24" cm="1">
        <f t="array" aca="1" ref="BQ221" ca="1">_FV(EC221,"Beta")</f>
        <v>2.0726</v>
      </c>
      <c r="BR221" s="71" cm="1">
        <f t="array" aca="1" ref="BR221" ca="1">_FV(EC221,"Variação (%)",TRUE)</f>
        <v>-6.2856999999999996E-2</v>
      </c>
      <c r="BT221" s="17" cm="1">
        <f t="array" aca="1" ref="BT221" ca="1">_FV(EC221,"Baixo")</f>
        <v>1.64</v>
      </c>
      <c r="BU221" s="17" cm="1">
        <f t="array" aca="1" ref="BU221" ca="1">_FV(EC221,"Alto")</f>
        <v>1.64</v>
      </c>
      <c r="BV221" s="24"/>
      <c r="BW221" s="63" t="e">
        <f ca="1">SQRT(22.5*(BL221/VLOOKUP(BM221,Fundamentus!A:U,3,FALSE))*(BL221/VLOOKUP(BM221,Fundamentus!A:U,4,FALSE)))</f>
        <v>#N/A</v>
      </c>
      <c r="BY221" s="62">
        <f t="shared" ca="1" si="241"/>
        <v>0</v>
      </c>
      <c r="BZ221" s="8"/>
      <c r="CA221" s="61">
        <f t="shared" si="242"/>
        <v>0.36</v>
      </c>
      <c r="CB221" s="61">
        <f t="shared" si="243"/>
        <v>2.34</v>
      </c>
      <c r="CC221" s="61">
        <f t="shared" si="244"/>
        <v>1.5119047619047623</v>
      </c>
      <c r="CD221" s="14"/>
      <c r="CE221" s="35">
        <f t="shared" si="227"/>
        <v>1.64</v>
      </c>
      <c r="CF221" s="15">
        <f t="shared" si="245"/>
        <v>1.64</v>
      </c>
      <c r="CG221" s="35">
        <f t="shared" si="228"/>
        <v>1.64</v>
      </c>
      <c r="CI221" s="14"/>
      <c r="CJ221" s="17">
        <f t="shared" si="229"/>
        <v>-1.4266666666666667</v>
      </c>
      <c r="CK221" s="17">
        <f t="shared" si="230"/>
        <v>-0.53333333333333344</v>
      </c>
      <c r="CL221" s="17">
        <f t="shared" si="231"/>
        <v>0.55333333333333323</v>
      </c>
      <c r="CM221" s="38">
        <f t="shared" si="246"/>
        <v>1.4466666666666665</v>
      </c>
      <c r="CN221" s="17">
        <f t="shared" si="232"/>
        <v>2.5333333333333332</v>
      </c>
      <c r="CO221" s="17">
        <f t="shared" si="233"/>
        <v>3.4266666666666667</v>
      </c>
      <c r="CP221" s="17">
        <f t="shared" si="234"/>
        <v>4.5133333333333328</v>
      </c>
      <c r="CQ221" s="2" cm="1">
        <f t="array" aca="1" ref="CQ221" ca="1">MAX(_xlfn._xlws.FILTER(CJ221:CP221,CJ221:CP221&lt;BL221))</f>
        <v>1.4466666666666665</v>
      </c>
      <c r="CR221" s="2" cm="1">
        <f t="array" aca="1" ref="CR221" ca="1">MIN(_xlfn._xlws.FILTER($CJ221:$CP221,$CJ221:$CP221&gt;BL221))</f>
        <v>2.5333333333333332</v>
      </c>
      <c r="CS221" s="16">
        <f t="shared" ca="1" si="248"/>
        <v>0.75115207373271886</v>
      </c>
      <c r="CT221" s="20">
        <f t="shared" ca="1" si="249"/>
        <v>-0.37557603686635943</v>
      </c>
      <c r="CU221" s="20">
        <f t="shared" ca="1" si="250"/>
        <v>-0.25038402457757297</v>
      </c>
      <c r="CV221" s="20">
        <f t="shared" ca="1" si="251"/>
        <v>-0.15023041474654378</v>
      </c>
      <c r="CW221" s="20">
        <f t="shared" ca="1" si="252"/>
        <v>-8.3461341525857657E-2</v>
      </c>
      <c r="CX221" s="20">
        <f t="shared" ca="1" si="253"/>
        <v>-4.4185416101924641E-2</v>
      </c>
      <c r="CY221" s="20">
        <f t="shared" ca="1" si="254"/>
        <v>-2.2762184052506632E-2</v>
      </c>
      <c r="CZ221" s="20">
        <f t="shared" ca="1" si="255"/>
        <v>-1.1556185749734136E-2</v>
      </c>
      <c r="DA221" s="21">
        <f t="shared" ca="1" si="256"/>
        <v>1.1556185749734136E-2</v>
      </c>
      <c r="DB221" s="21">
        <f t="shared" ca="1" si="257"/>
        <v>2.2762184052506632E-2</v>
      </c>
      <c r="DC221" s="21">
        <f t="shared" ca="1" si="258"/>
        <v>4.4185416101924641E-2</v>
      </c>
      <c r="DD221" s="21">
        <f t="shared" ca="1" si="259"/>
        <v>8.3461341525857657E-2</v>
      </c>
      <c r="DE221" s="21">
        <f t="shared" ca="1" si="260"/>
        <v>0.15023041474654378</v>
      </c>
      <c r="DF221" s="21">
        <f t="shared" ca="1" si="261"/>
        <v>0.25038402457757297</v>
      </c>
      <c r="DG221" s="21">
        <f t="shared" ca="1" si="262"/>
        <v>0.37557603686635943</v>
      </c>
      <c r="DI221" s="16" cm="1">
        <f t="array" aca="1" ref="DI221" ca="1">MAX(_xlfn._xlws.FILTER(CT221:DG221,CT221:DG221&lt;BR221))</f>
        <v>-8.3461341525857657E-2</v>
      </c>
      <c r="DJ221" s="16" cm="1">
        <f t="array" aca="1" ref="DJ221" ca="1">MIN(_xlfn._xlws.FILTER(CT221:DG221,CT221:DG221&gt;BR221))</f>
        <v>-4.4185416101924641E-2</v>
      </c>
      <c r="DK221" s="2" cm="1">
        <f t="array" aca="1" ref="DK221" ca="1">_FV(EC221,"Fechamento anterior",TRUE)</f>
        <v>1.75</v>
      </c>
      <c r="DL221" s="28">
        <f t="shared" ca="1" si="235"/>
        <v>0.52460122699386424</v>
      </c>
      <c r="DM221" s="15">
        <f t="shared" ca="1" si="263"/>
        <v>1.6039426523297491</v>
      </c>
      <c r="DN221" s="15">
        <f t="shared" ca="1" si="264"/>
        <v>1.6726755218216318</v>
      </c>
      <c r="DO221" s="9"/>
      <c r="DP221" s="9"/>
      <c r="DQ221" s="9"/>
      <c r="DR221" s="89">
        <v>3.596660244059089E-2</v>
      </c>
      <c r="DS221" s="89">
        <v>3.9275925423933017E-2</v>
      </c>
      <c r="DT221" s="89">
        <v>3.9275925423933017E-2</v>
      </c>
      <c r="DU221" s="89">
        <v>3.9275925423933017E-2</v>
      </c>
      <c r="DV221" s="89">
        <f t="shared" ca="1" si="236"/>
        <v>3.9275925423933017E-2</v>
      </c>
      <c r="DW221" s="72" t="e">
        <f t="shared" ca="1" si="237"/>
        <v>#DIV/0!</v>
      </c>
      <c r="DX221" s="37"/>
      <c r="DY221" s="35">
        <f t="shared" si="247"/>
        <v>0</v>
      </c>
      <c r="DZ221" s="56"/>
      <c r="EA221" s="56"/>
      <c r="EC221" s="2" t="e" vm="223">
        <v>#VALUE!</v>
      </c>
      <c r="EE221" s="10" cm="1">
        <f t="array" aca="1" ref="EE221" ca="1">_FV(EC221,"Ações em circulação",TRUE)</f>
        <v>10000000</v>
      </c>
      <c r="EF221" s="18" t="e">
        <f>VLOOKUP(BM221,Fundamentus!A:U,5,FALSE)</f>
        <v>#N/A</v>
      </c>
      <c r="EG221" s="2" t="e">
        <f t="shared" ca="1" si="238"/>
        <v>#N/A</v>
      </c>
      <c r="EH221" s="17" t="e">
        <v>#N/A</v>
      </c>
      <c r="EI221" s="17" t="e">
        <f t="shared" ca="1" si="239"/>
        <v>#N/A</v>
      </c>
      <c r="EK221" s="16" t="e">
        <f t="shared" ca="1" si="226"/>
        <v>#N/A</v>
      </c>
      <c r="EL221" s="32" t="e">
        <f>IF(VLOOKUP(BM221,Fundamentus!A:U,3,FALSE)&lt;15,"Bom",IF(VLOOKUP(BM221,Fundamentus!A:U,3,FALSE)&gt;15,"Ruim","n/a"))</f>
        <v>#N/A</v>
      </c>
      <c r="EM221" s="28" t="e">
        <f>IF(VLOOKUP(BM221,Fundamentus!A:U,4,FALSE)&lt;1,"Baixo",IF(VLOOKUP(BM221,Fundamentus!A:U,4,FALSE)&lt;1.5,"Moderado",IF(VLOOKUP(BM221,Fundamentus!A:U,4,FALSE)&gt;1.5,"Alto","n/a")))</f>
        <v>#N/A</v>
      </c>
      <c r="EN221" s="17" t="e">
        <f>IF(VLOOKUP(BM221,Fundamentus!A:U,8,FALSE)&lt;0,"Risco elevado",IF(VLOOKUP(BM221,Fundamentus!A:U,8,FALSE)&lt;1,"Saudável",IF(VLOOKUP(BM221,Fundamentus!A:U,8,FALSE)&lt;3,"Estável",IF(VLOOKUP(BM221,Fundamentus!A:U,8,FALSE)&gt;3,"Alerta","n/a"))))</f>
        <v>#N/A</v>
      </c>
      <c r="EO221" s="28" t="e">
        <f t="shared" si="240"/>
        <v>#N/A</v>
      </c>
      <c r="EP221" s="17" t="e">
        <f>IF(VLOOKUP(BM221,Fundamentus!A:U,12,FALSE)&lt;2,"Subvalorizada",IF(VLOOKUP(BM221,Fundamentus!A:U,12,FALSE)&lt;6,"Muita barata",IF(VLOOKUP(BM221,Fundamentus!A:U,12,FALSE)&lt;6,"Barata",IF(VLOOKUP(BM221,Fundamentus!A:U,12,FALSE)&lt;8,"Atrativa",IF(VLOOKUP(BM221,Fundamentus!A:U,12,FALSE)&gt;8,"Supervalorizada","n/a")))))</f>
        <v>#N/A</v>
      </c>
      <c r="ER221" s="17" t="e">
        <f>IF(VLOOKUP(BM221,Fundamentus!A:U,17,FALSE)&lt;0.1,"Fraco retorno",IF(VLOOKUP(BM221,Fundamentus!A:U,17,FALSE)&gt;0.1,"Bom retorno","n/a"))</f>
        <v>#N/A</v>
      </c>
      <c r="ES221" s="17" t="e">
        <f>IF(VLOOKUP(BM221,Fundamentus!A:U,16,FALSE)&lt;0.1,"Ineficiente",IF(VLOOKUP(BM221,Fundamentus!A:U,16,FALSE)&gt;0.1,"Eficiente","n/a"))</f>
        <v>#N/A</v>
      </c>
      <c r="ET221" s="33" t="e">
        <f>IF(VLOOKUP(BM221,Fundamentus!A:U,16,FALSE)&lt;0.1,"Oper. Ineficiente",IF(VLOOKUP(BM221,Fundamentus!A:U,16,FALSE)&gt;0.1,"Oper.Eficiente","n/a"))</f>
        <v>#N/A</v>
      </c>
      <c r="EU221" s="34" t="e">
        <f>VLOOKUP(BM221,Fundamentus!A:U,14,FALSE)</f>
        <v>#N/A</v>
      </c>
      <c r="EV221" s="17" t="e">
        <f>IF(VLOOKUP(BM221,Fundamentus!A:U,21,FALSE)&lt;0,"Negativo",IF(VLOOKUP(BM221,Fundamentus!A:U,21,FALSE)&lt;0.05,"Fraco",IF(VLOOKUP(BM221,Fundamentus!A:U,21,FALSE)&lt;0.1,"Bom",IF(VLOOKUP(BM221,Fundamentus!A:U,21,FALSE)&gt;0.1,"Muito bom","n/a"))))</f>
        <v>#N/A</v>
      </c>
      <c r="EX221" s="29" t="e">
        <f>IF(VLOOKUP(BM221,Fundamentus!A:U,15,FALSE)&gt;1,"Bom",IF(VLOOKUP(BM221,Fundamentus!A:U,15,FALSE)&lt;1,"Ruim","n/a"))</f>
        <v>#N/A</v>
      </c>
      <c r="EY221" s="17" t="e">
        <f>IF(VLOOKUP(BM221,Fundamentus!A:U,20,FALSE)&lt;0.5,"Baixa",IF(VLOOKUP(BM221,Fundamentus!A:U,20,FALSE)&lt;1,"Moderada",IF(VLOOKUP(BM221,Fundamentus!A:U,20,FALSE)&lt;2,"Alerta",IF(VLOOKUP(BM221,Fundamentus!A:U,20,FALSE)&gt;2,"Alta","n/a"))))</f>
        <v>#N/A</v>
      </c>
    </row>
    <row r="222" spans="1:156" s="2" customFormat="1" ht="11.25" x14ac:dyDescent="0.2">
      <c r="A222" s="4">
        <v>2.2999999999999998</v>
      </c>
      <c r="B222" s="4">
        <v>2.17</v>
      </c>
      <c r="C222" s="4">
        <v>2.04</v>
      </c>
      <c r="D222" s="4">
        <v>1.95</v>
      </c>
      <c r="E222" s="4">
        <v>1.85</v>
      </c>
      <c r="F222" s="4">
        <v>1.8</v>
      </c>
      <c r="G222" s="4">
        <v>1.67</v>
      </c>
      <c r="H222" s="4">
        <v>1.74</v>
      </c>
      <c r="I222" s="4">
        <v>1.79</v>
      </c>
      <c r="J222" s="4">
        <v>1.87</v>
      </c>
      <c r="K222" s="4">
        <v>1.89</v>
      </c>
      <c r="L222" s="4">
        <v>1.67</v>
      </c>
      <c r="M222" s="4">
        <v>1.58</v>
      </c>
      <c r="N222" s="4">
        <v>1.5</v>
      </c>
      <c r="O222" s="4">
        <v>1.52</v>
      </c>
      <c r="P222" s="4">
        <v>1.34</v>
      </c>
      <c r="Q222" s="4">
        <v>1.43</v>
      </c>
      <c r="R222" s="4">
        <v>1.37</v>
      </c>
      <c r="S222" s="4">
        <v>1.39</v>
      </c>
      <c r="T222" s="4">
        <v>1.47</v>
      </c>
      <c r="U222" s="4">
        <v>1.32</v>
      </c>
      <c r="V222" s="4">
        <v>1.33</v>
      </c>
      <c r="W222" s="4">
        <v>1.26</v>
      </c>
      <c r="X222" s="4">
        <v>1.33</v>
      </c>
      <c r="Y222" s="4">
        <v>1.37</v>
      </c>
      <c r="Z222" s="4">
        <v>1.43</v>
      </c>
      <c r="AA222" s="4">
        <v>1.36</v>
      </c>
      <c r="AB222" s="4">
        <v>1.36</v>
      </c>
      <c r="AC222" s="4">
        <v>1.35</v>
      </c>
      <c r="AD222" s="4">
        <v>1.39</v>
      </c>
      <c r="AE222" s="4">
        <v>1.29</v>
      </c>
      <c r="AF222" s="4">
        <v>1.2</v>
      </c>
      <c r="AG222" s="4">
        <v>1.1200000000000001</v>
      </c>
      <c r="AH222" s="4">
        <v>1.07</v>
      </c>
      <c r="AI222" s="4">
        <v>1.06</v>
      </c>
      <c r="AJ222" s="4">
        <v>1.08</v>
      </c>
      <c r="AK222" s="4">
        <v>1.18</v>
      </c>
      <c r="AL222" s="4">
        <v>1.25</v>
      </c>
      <c r="AM222" s="4">
        <v>1.37</v>
      </c>
      <c r="AN222" s="4">
        <v>1.41</v>
      </c>
      <c r="AO222" s="4">
        <v>1.52</v>
      </c>
      <c r="AP222" s="4">
        <v>1.7</v>
      </c>
      <c r="AQ222" s="4">
        <v>1.7</v>
      </c>
      <c r="AR222" s="4">
        <v>1.52</v>
      </c>
      <c r="AS222" s="4">
        <v>1.65</v>
      </c>
      <c r="AT222" s="4">
        <v>1.75</v>
      </c>
      <c r="AU222" s="4">
        <v>1.875</v>
      </c>
      <c r="AV222" s="4">
        <v>2.12</v>
      </c>
      <c r="AW222" s="4">
        <v>2.06</v>
      </c>
      <c r="AX222" s="4">
        <v>2.25</v>
      </c>
      <c r="AY222" s="12">
        <v>2.4500000000000002</v>
      </c>
      <c r="AZ222" s="12">
        <v>2.5</v>
      </c>
      <c r="BA222" s="12">
        <v>2.58</v>
      </c>
      <c r="BB222" s="15">
        <v>3.03</v>
      </c>
      <c r="BC222" s="52">
        <v>3.11</v>
      </c>
      <c r="BD222" s="52">
        <v>2.9</v>
      </c>
      <c r="BE222" s="52">
        <v>2.97</v>
      </c>
      <c r="BF222" s="52">
        <v>2.91</v>
      </c>
      <c r="BG222" s="67">
        <v>2.79</v>
      </c>
      <c r="BH222" s="52">
        <v>2.82</v>
      </c>
      <c r="BI222" s="52">
        <v>2.79</v>
      </c>
      <c r="BJ222" s="52">
        <v>2.91</v>
      </c>
      <c r="BK222" s="52">
        <v>2.65</v>
      </c>
      <c r="BL222" s="52" cm="1">
        <f t="array" aca="1" ref="BL222" ca="1">_FV(EC222,"Preço")</f>
        <v>2.65</v>
      </c>
      <c r="BM222" s="69" t="s">
        <v>218</v>
      </c>
      <c r="BN222" s="36" cm="1">
        <f t="array" aca="1" ref="BN222" ca="1">_FV(EC222,"Média de volume",TRUE)</f>
        <v>25302560</v>
      </c>
      <c r="BO222" s="36">
        <v>53148000</v>
      </c>
      <c r="BP222" s="36" cm="1">
        <f t="array" aca="1" ref="BP222" ca="1">_FV(EC222,"Volume")</f>
        <v>53148000</v>
      </c>
      <c r="BQ222" s="24" cm="1">
        <f t="array" aca="1" ref="BQ222" ca="1">_FV(EC222,"Beta")</f>
        <v>1.9462999999999999</v>
      </c>
      <c r="BR222" s="71" cm="1">
        <f t="array" aca="1" ref="BR222" ca="1">_FV(EC222,"Variação (%)",TRUE)</f>
        <v>-3.9855000000000002E-2</v>
      </c>
      <c r="BT222" s="17" cm="1">
        <f t="array" aca="1" ref="BT222" ca="1">_FV(EC222,"Baixo")</f>
        <v>2.59</v>
      </c>
      <c r="BU222" s="17" cm="1">
        <f t="array" aca="1" ref="BU222" ca="1">_FV(EC222,"Alto")</f>
        <v>2.76</v>
      </c>
      <c r="BV222" s="24"/>
      <c r="BW222" s="63">
        <f ca="1">SQRT(22.5*(BL222/VLOOKUP(BM222,Fundamentus!A:U,3,FALSE))*(BL222/VLOOKUP(BM222,Fundamentus!A:U,4,FALSE)))</f>
        <v>8.4092385324728287</v>
      </c>
      <c r="BY222" s="62">
        <f t="shared" ca="1" si="241"/>
        <v>0</v>
      </c>
      <c r="BZ222" s="8"/>
      <c r="CA222" s="61">
        <f t="shared" si="242"/>
        <v>1.06</v>
      </c>
      <c r="CB222" s="61">
        <f t="shared" si="243"/>
        <v>3.11</v>
      </c>
      <c r="CC222" s="61">
        <f t="shared" si="244"/>
        <v>1.8162698412698415</v>
      </c>
      <c r="CD222" s="14"/>
      <c r="CE222" s="35">
        <f t="shared" si="227"/>
        <v>2.5969633876465172</v>
      </c>
      <c r="CF222" s="15">
        <f t="shared" si="245"/>
        <v>2.7729999999999961</v>
      </c>
      <c r="CG222" s="35">
        <f t="shared" si="228"/>
        <v>2.949036612353475</v>
      </c>
      <c r="CI222" s="14"/>
      <c r="CJ222" s="17">
        <f t="shared" si="229"/>
        <v>-0.43999999999999995</v>
      </c>
      <c r="CK222" s="17">
        <f t="shared" si="230"/>
        <v>0.31000000000000005</v>
      </c>
      <c r="CL222" s="17">
        <f t="shared" si="231"/>
        <v>1.6099999999999999</v>
      </c>
      <c r="CM222" s="38">
        <f t="shared" si="246"/>
        <v>2.36</v>
      </c>
      <c r="CN222" s="17">
        <f t="shared" si="232"/>
        <v>3.6599999999999997</v>
      </c>
      <c r="CO222" s="17">
        <f t="shared" si="233"/>
        <v>4.41</v>
      </c>
      <c r="CP222" s="17">
        <f t="shared" si="234"/>
        <v>5.7099999999999991</v>
      </c>
      <c r="CQ222" s="2" cm="1">
        <f t="array" aca="1" ref="CQ222" ca="1">MAX(_xlfn._xlws.FILTER(CJ222:CP222,CJ222:CP222&lt;BL222))</f>
        <v>2.36</v>
      </c>
      <c r="CR222" s="2" cm="1">
        <f t="array" aca="1" ref="CR222" ca="1">MIN(_xlfn._xlws.FILTER($CJ222:$CP222,$CJ222:$CP222&gt;BL222))</f>
        <v>3.6599999999999997</v>
      </c>
      <c r="CS222" s="16">
        <f t="shared" ca="1" si="248"/>
        <v>0.55084745762711851</v>
      </c>
      <c r="CT222" s="20">
        <f t="shared" ca="1" si="249"/>
        <v>-0.27542372881355925</v>
      </c>
      <c r="CU222" s="20">
        <f t="shared" ca="1" si="250"/>
        <v>-0.18361581920903949</v>
      </c>
      <c r="CV222" s="20">
        <f t="shared" ca="1" si="251"/>
        <v>-0.1101694915254237</v>
      </c>
      <c r="CW222" s="20">
        <f t="shared" ca="1" si="252"/>
        <v>-6.1205273069679836E-2</v>
      </c>
      <c r="CX222" s="20">
        <f t="shared" ca="1" si="253"/>
        <v>-3.2402791625124619E-2</v>
      </c>
      <c r="CY222" s="20">
        <f t="shared" ca="1" si="254"/>
        <v>-1.6692347200821772E-2</v>
      </c>
      <c r="CZ222" s="20">
        <f t="shared" ca="1" si="255"/>
        <v>-8.4745762711864389E-3</v>
      </c>
      <c r="DA222" s="21">
        <f t="shared" ca="1" si="256"/>
        <v>8.4745762711864389E-3</v>
      </c>
      <c r="DB222" s="21">
        <f t="shared" ca="1" si="257"/>
        <v>1.6692347200821772E-2</v>
      </c>
      <c r="DC222" s="21">
        <f t="shared" ca="1" si="258"/>
        <v>3.2402791625124619E-2</v>
      </c>
      <c r="DD222" s="21">
        <f t="shared" ca="1" si="259"/>
        <v>6.1205273069679836E-2</v>
      </c>
      <c r="DE222" s="21">
        <f t="shared" ca="1" si="260"/>
        <v>0.1101694915254237</v>
      </c>
      <c r="DF222" s="21">
        <f t="shared" ca="1" si="261"/>
        <v>0.18361581920903949</v>
      </c>
      <c r="DG222" s="21">
        <f t="shared" ca="1" si="262"/>
        <v>0.27542372881355925</v>
      </c>
      <c r="DI222" s="16" cm="1">
        <f t="array" aca="1" ref="DI222" ca="1">MAX(_xlfn._xlws.FILTER(CT222:DG222,CT222:DG222&lt;BR222))</f>
        <v>-6.1205273069679836E-2</v>
      </c>
      <c r="DJ222" s="16" cm="1">
        <f t="array" aca="1" ref="DJ222" ca="1">MIN(_xlfn._xlws.FILTER(CT222:DG222,CT222:DG222&gt;BR222))</f>
        <v>-3.2402791625124619E-2</v>
      </c>
      <c r="DK222" s="2" cm="1">
        <f t="array" aca="1" ref="DK222" ca="1">_FV(EC222,"Fechamento anterior",TRUE)</f>
        <v>2.76</v>
      </c>
      <c r="DL222" s="28">
        <f t="shared" ca="1" si="235"/>
        <v>0.74126254180602302</v>
      </c>
      <c r="DM222" s="15">
        <f t="shared" ca="1" si="263"/>
        <v>2.5910734463276834</v>
      </c>
      <c r="DN222" s="15">
        <f t="shared" ca="1" si="264"/>
        <v>2.6705682951146557</v>
      </c>
      <c r="DO222" s="9"/>
      <c r="DP222" s="9"/>
      <c r="DQ222" s="9"/>
      <c r="DR222" s="89">
        <v>2.658827570183148E-2</v>
      </c>
      <c r="DS222" s="89">
        <v>1.5489581412502305E-2</v>
      </c>
      <c r="DT222" s="89">
        <v>1.6949152542372878E-2</v>
      </c>
      <c r="DU222" s="89">
        <v>2.8802481444555217E-2</v>
      </c>
      <c r="DV222" s="89">
        <f t="shared" ca="1" si="236"/>
        <v>2.8802481444555217E-2</v>
      </c>
      <c r="DW222" s="72">
        <f t="shared" ca="1" si="237"/>
        <v>-0.69871828567692529</v>
      </c>
      <c r="DX222" s="37"/>
      <c r="DY222" s="35">
        <f t="shared" si="247"/>
        <v>8.8018306176739364E-2</v>
      </c>
      <c r="DZ222" s="56"/>
      <c r="EA222" s="56"/>
      <c r="EC222" s="2" t="e" vm="224">
        <v>#VALUE!</v>
      </c>
      <c r="EE222" s="10" cm="1">
        <f t="array" aca="1" ref="EE222" ca="1">_FV(EC222,"Ações em circulação",TRUE)</f>
        <v>1876606000</v>
      </c>
      <c r="EF222" s="18">
        <f>VLOOKUP(BM222,Fundamentus!A:U,5,FALSE)</f>
        <v>0.80500000000000005</v>
      </c>
      <c r="EG222" s="2">
        <f t="shared" ca="1" si="238"/>
        <v>6177647080.7453413</v>
      </c>
      <c r="EH222" s="17">
        <v>1035373650.7329192</v>
      </c>
      <c r="EI222" s="17">
        <f t="shared" ca="1" si="239"/>
        <v>1035373650.7329192</v>
      </c>
      <c r="EK222" s="16">
        <f t="shared" ca="1" si="226"/>
        <v>0</v>
      </c>
      <c r="EL222" s="32" t="str">
        <f>IF(VLOOKUP(BM222,Fundamentus!A:U,3,FALSE)&lt;15,"Bom",IF(VLOOKUP(BM222,Fundamentus!A:U,3,FALSE)&gt;15,"Ruim","n/a"))</f>
        <v>Bom</v>
      </c>
      <c r="EM222" s="28" t="str">
        <f>IF(VLOOKUP(BM222,Fundamentus!A:U,4,FALSE)&lt;1,"Baixo",IF(VLOOKUP(BM222,Fundamentus!A:U,4,FALSE)&lt;1.5,"Moderado",IF(VLOOKUP(BM222,Fundamentus!A:U,4,FALSE)&gt;1.5,"Alto","n/a")))</f>
        <v>Baixo</v>
      </c>
      <c r="EN222" s="17" t="str">
        <f>IF(VLOOKUP(BM222,Fundamentus!A:U,8,FALSE)&lt;0,"Risco elevado",IF(VLOOKUP(BM222,Fundamentus!A:U,8,FALSE)&lt;1,"Saudável",IF(VLOOKUP(BM222,Fundamentus!A:U,8,FALSE)&lt;3,"Estável",IF(VLOOKUP(BM222,Fundamentus!A:U,8,FALSE)&gt;3,"Alerta","n/a"))))</f>
        <v>Alerta</v>
      </c>
      <c r="EO222" s="28" t="str">
        <f t="shared" si="240"/>
        <v>Ruim</v>
      </c>
      <c r="EP222" s="17" t="str">
        <f>IF(VLOOKUP(BM222,Fundamentus!A:U,12,FALSE)&lt;2,"Subvalorizada",IF(VLOOKUP(BM222,Fundamentus!A:U,12,FALSE)&lt;6,"Muita barata",IF(VLOOKUP(BM222,Fundamentus!A:U,12,FALSE)&lt;6,"Barata",IF(VLOOKUP(BM222,Fundamentus!A:U,12,FALSE)&lt;8,"Atrativa",IF(VLOOKUP(BM222,Fundamentus!A:U,12,FALSE)&gt;8,"Supervalorizada","n/a")))))</f>
        <v>Muita barata</v>
      </c>
      <c r="ER222" s="17" t="str">
        <f>IF(VLOOKUP(BM222,Fundamentus!A:U,17,FALSE)&lt;0.1,"Fraco retorno",IF(VLOOKUP(BM222,Fundamentus!A:U,17,FALSE)&gt;0.1,"Bom retorno","n/a"))</f>
        <v>Fraco retorno</v>
      </c>
      <c r="ES222" s="17" t="str">
        <f>IF(VLOOKUP(BM222,Fundamentus!A:U,16,FALSE)&lt;0.1,"Ineficiente",IF(VLOOKUP(BM222,Fundamentus!A:U,16,FALSE)&gt;0.1,"Eficiente","n/a"))</f>
        <v>Ineficiente</v>
      </c>
      <c r="ET222" s="33" t="str">
        <f>IF(VLOOKUP(BM222,Fundamentus!A:U,16,FALSE)&lt;0.1,"Oper. Ineficiente",IF(VLOOKUP(BM222,Fundamentus!A:U,16,FALSE)&gt;0.1,"Oper.Eficiente","n/a"))</f>
        <v>Oper. Ineficiente</v>
      </c>
      <c r="EU222" s="34">
        <f>VLOOKUP(BM222,Fundamentus!A:U,14,FALSE)</f>
        <v>0.1676</v>
      </c>
      <c r="EV222" s="17" t="str">
        <f>IF(VLOOKUP(BM222,Fundamentus!A:U,21,FALSE)&lt;0,"Negativo",IF(VLOOKUP(BM222,Fundamentus!A:U,21,FALSE)&lt;0.05,"Fraco",IF(VLOOKUP(BM222,Fundamentus!A:U,21,FALSE)&lt;0.1,"Bom",IF(VLOOKUP(BM222,Fundamentus!A:U,21,FALSE)&gt;0.1,"Muito bom","n/a"))))</f>
        <v>Bom</v>
      </c>
      <c r="EX222" s="29" t="str">
        <f>IF(VLOOKUP(BM222,Fundamentus!A:U,15,FALSE)&gt;1,"Bom",IF(VLOOKUP(BM222,Fundamentus!A:U,15,FALSE)&lt;1,"Ruim","n/a"))</f>
        <v>Bom</v>
      </c>
      <c r="EY222" s="17" t="str">
        <f>IF(VLOOKUP(BM222,Fundamentus!A:U,20,FALSE)&lt;0.5,"Baixa",IF(VLOOKUP(BM222,Fundamentus!A:U,20,FALSE)&lt;1,"Moderada",IF(VLOOKUP(BM222,Fundamentus!A:U,20,FALSE)&lt;2,"Alerta",IF(VLOOKUP(BM222,Fundamentus!A:U,20,FALSE)&gt;2,"Alta","n/a"))))</f>
        <v>Moderada</v>
      </c>
    </row>
    <row r="223" spans="1:156" s="2" customFormat="1" ht="11.25" x14ac:dyDescent="0.2">
      <c r="A223" s="4">
        <v>1.88</v>
      </c>
      <c r="B223" s="4">
        <v>1.89</v>
      </c>
      <c r="C223" s="4">
        <v>1.8</v>
      </c>
      <c r="D223" s="4">
        <v>1.78</v>
      </c>
      <c r="E223" s="4">
        <v>1.72</v>
      </c>
      <c r="F223" s="4">
        <v>1.66</v>
      </c>
      <c r="G223" s="4">
        <v>1.56</v>
      </c>
      <c r="H223" s="4">
        <v>12.6</v>
      </c>
      <c r="I223" s="4">
        <v>13.46</v>
      </c>
      <c r="J223" s="4">
        <v>15.38</v>
      </c>
      <c r="K223" s="4">
        <v>15.05</v>
      </c>
      <c r="L223" s="4">
        <v>12.41</v>
      </c>
      <c r="M223" s="4">
        <v>12.78</v>
      </c>
      <c r="N223" s="4">
        <v>12.29</v>
      </c>
      <c r="O223" s="4">
        <v>12.26</v>
      </c>
      <c r="P223" s="4">
        <v>12.4</v>
      </c>
      <c r="Q223" s="4">
        <v>12.54</v>
      </c>
      <c r="R223" s="4">
        <v>12.05</v>
      </c>
      <c r="S223" s="4">
        <v>11.93</v>
      </c>
      <c r="T223" s="4">
        <v>11.32</v>
      </c>
      <c r="U223" s="4">
        <v>11.5</v>
      </c>
      <c r="V223" s="4">
        <v>11.35</v>
      </c>
      <c r="W223" s="4">
        <v>11.26</v>
      </c>
      <c r="X223" s="4">
        <v>11.08</v>
      </c>
      <c r="Y223" s="4">
        <v>9.9600000000000009</v>
      </c>
      <c r="Z223" s="4">
        <v>10.58</v>
      </c>
      <c r="AA223" s="4">
        <v>11.2</v>
      </c>
      <c r="AB223" s="4">
        <v>11.85</v>
      </c>
      <c r="AC223" s="4">
        <v>8.9499999999999993</v>
      </c>
      <c r="AD223" s="4">
        <v>10.4</v>
      </c>
      <c r="AE223" s="4">
        <v>10.53</v>
      </c>
      <c r="AF223" s="4">
        <v>10.199999999999999</v>
      </c>
      <c r="AG223" s="4">
        <v>9.15</v>
      </c>
      <c r="AH223" s="4">
        <v>8.75</v>
      </c>
      <c r="AI223" s="4">
        <v>9.35</v>
      </c>
      <c r="AJ223" s="4">
        <v>8.6999999999999993</v>
      </c>
      <c r="AK223" s="4">
        <v>8.61</v>
      </c>
      <c r="AL223" s="4">
        <v>8.8800000000000008</v>
      </c>
      <c r="AM223" s="4">
        <v>8.65</v>
      </c>
      <c r="AN223" s="4">
        <v>8.67</v>
      </c>
      <c r="AO223" s="4">
        <v>8.4</v>
      </c>
      <c r="AP223" s="4">
        <v>8.36</v>
      </c>
      <c r="AQ223" s="4">
        <v>8.31</v>
      </c>
      <c r="AR223" s="4">
        <v>8.26</v>
      </c>
      <c r="AS223" s="4">
        <v>8.25</v>
      </c>
      <c r="AT223" s="4">
        <v>8.2899999999999991</v>
      </c>
      <c r="AU223" s="4">
        <v>8.33</v>
      </c>
      <c r="AV223" s="4">
        <v>7.56</v>
      </c>
      <c r="AW223" s="4">
        <v>7.79</v>
      </c>
      <c r="AX223" s="4">
        <v>6.59</v>
      </c>
      <c r="AY223" s="12">
        <v>7.18</v>
      </c>
      <c r="AZ223" s="12">
        <v>7.3</v>
      </c>
      <c r="BA223" s="12">
        <v>7.18</v>
      </c>
      <c r="BB223" s="15">
        <v>7.06</v>
      </c>
      <c r="BC223" s="52">
        <v>7.92</v>
      </c>
      <c r="BD223" s="52">
        <v>8.31</v>
      </c>
      <c r="BE223" s="52">
        <v>8.3699999999999992</v>
      </c>
      <c r="BF223" s="52">
        <v>8.86</v>
      </c>
      <c r="BG223" s="67">
        <v>8.9</v>
      </c>
      <c r="BH223" s="52">
        <v>8.99</v>
      </c>
      <c r="BI223" s="52">
        <v>9.2200000000000006</v>
      </c>
      <c r="BJ223" s="52">
        <v>8.5299999999999994</v>
      </c>
      <c r="BK223" s="52">
        <v>8.56</v>
      </c>
      <c r="BL223" s="52" cm="1">
        <f t="array" aca="1" ref="BL223" ca="1">_FV(EC223,"Preço")</f>
        <v>8.56</v>
      </c>
      <c r="BM223" s="70" t="s">
        <v>219</v>
      </c>
      <c r="BN223" s="36" cm="1">
        <f t="array" aca="1" ref="BN223" ca="1">_FV(EC223,"Média de volume",TRUE)</f>
        <v>23600</v>
      </c>
      <c r="BO223" s="36">
        <v>12900</v>
      </c>
      <c r="BP223" s="36" cm="1">
        <f t="array" aca="1" ref="BP223" ca="1">_FV(EC223,"Volume")</f>
        <v>12900</v>
      </c>
      <c r="BQ223" s="24" cm="1">
        <f t="array" aca="1" ref="BQ223" ca="1">_FV(EC223,"Beta")</f>
        <v>1.3754999999999999</v>
      </c>
      <c r="BR223" s="71" cm="1">
        <f t="array" aca="1" ref="BR223" ca="1">_FV(EC223,"Variação (%)",TRUE)</f>
        <v>5.0307000000000004E-2</v>
      </c>
      <c r="BT223" s="17" cm="1">
        <f t="array" aca="1" ref="BT223" ca="1">_FV(EC223,"Baixo")</f>
        <v>8.0299999999999994</v>
      </c>
      <c r="BU223" s="17" cm="1">
        <f t="array" aca="1" ref="BU223" ca="1">_FV(EC223,"Alto")</f>
        <v>8.56</v>
      </c>
      <c r="BV223" s="24"/>
      <c r="BW223" s="63" t="e">
        <f ca="1">SQRT(22.5*(BL223/VLOOKUP(BM223,Fundamentus!A:U,3,FALSE))*(BL223/VLOOKUP(BM223,Fundamentus!A:U,4,FALSE)))</f>
        <v>#NUM!</v>
      </c>
      <c r="BY223" s="62">
        <f t="shared" ca="1" si="241"/>
        <v>0</v>
      </c>
      <c r="BZ223" s="8"/>
      <c r="CA223" s="61">
        <f t="shared" si="242"/>
        <v>1.56</v>
      </c>
      <c r="CB223" s="61">
        <f t="shared" si="243"/>
        <v>15.38</v>
      </c>
      <c r="CC223" s="61">
        <f t="shared" si="244"/>
        <v>8.966666666666665</v>
      </c>
      <c r="CD223" s="14"/>
      <c r="CE223" s="35">
        <f t="shared" si="227"/>
        <v>8.2461852209215376</v>
      </c>
      <c r="CF223" s="15">
        <f t="shared" si="245"/>
        <v>8.7260000000001128</v>
      </c>
      <c r="CG223" s="35">
        <f t="shared" si="228"/>
        <v>9.2058147790786879</v>
      </c>
      <c r="CI223" s="14"/>
      <c r="CJ223" s="17">
        <f t="shared" si="229"/>
        <v>-12.22</v>
      </c>
      <c r="CK223" s="17">
        <f t="shared" si="230"/>
        <v>-5.33</v>
      </c>
      <c r="CL223" s="17">
        <f t="shared" si="231"/>
        <v>1.5999999999999996</v>
      </c>
      <c r="CM223" s="38">
        <f t="shared" si="246"/>
        <v>8.49</v>
      </c>
      <c r="CN223" s="17">
        <f t="shared" si="232"/>
        <v>15.42</v>
      </c>
      <c r="CO223" s="17">
        <f t="shared" si="233"/>
        <v>22.310000000000002</v>
      </c>
      <c r="CP223" s="17">
        <f t="shared" si="234"/>
        <v>29.240000000000002</v>
      </c>
      <c r="CQ223" s="2" cm="1">
        <f t="array" aca="1" ref="CQ223" ca="1">MAX(_xlfn._xlws.FILTER(CJ223:CP223,CJ223:CP223&lt;BL223))</f>
        <v>8.49</v>
      </c>
      <c r="CR223" s="2" cm="1">
        <f t="array" aca="1" ref="CR223" ca="1">MIN(_xlfn._xlws.FILTER($CJ223:$CP223,$CJ223:$CP223&gt;BL223))</f>
        <v>15.42</v>
      </c>
      <c r="CS223" s="16">
        <f t="shared" ca="1" si="248"/>
        <v>0.81625441696113077</v>
      </c>
      <c r="CT223" s="20">
        <f t="shared" ca="1" si="249"/>
        <v>-0.40812720848056538</v>
      </c>
      <c r="CU223" s="20">
        <f t="shared" ca="1" si="250"/>
        <v>-0.27208480565371024</v>
      </c>
      <c r="CV223" s="20">
        <f t="shared" ca="1" si="251"/>
        <v>-0.16325088339222615</v>
      </c>
      <c r="CW223" s="20">
        <f t="shared" ca="1" si="252"/>
        <v>-9.0694935217903422E-2</v>
      </c>
      <c r="CX223" s="20">
        <f t="shared" ca="1" si="253"/>
        <v>-4.8014965703595924E-2</v>
      </c>
      <c r="CY223" s="20">
        <f t="shared" ca="1" si="254"/>
        <v>-2.4734982332155479E-2</v>
      </c>
      <c r="CZ223" s="20">
        <f t="shared" ca="1" si="255"/>
        <v>-1.2557760260940473E-2</v>
      </c>
      <c r="DA223" s="21">
        <f t="shared" ca="1" si="256"/>
        <v>1.2557760260940473E-2</v>
      </c>
      <c r="DB223" s="21">
        <f t="shared" ca="1" si="257"/>
        <v>2.4734982332155479E-2</v>
      </c>
      <c r="DC223" s="21">
        <f t="shared" ca="1" si="258"/>
        <v>4.8014965703595924E-2</v>
      </c>
      <c r="DD223" s="21">
        <f t="shared" ca="1" si="259"/>
        <v>9.0694935217903422E-2</v>
      </c>
      <c r="DE223" s="21">
        <f t="shared" ca="1" si="260"/>
        <v>0.16325088339222615</v>
      </c>
      <c r="DF223" s="21">
        <f t="shared" ca="1" si="261"/>
        <v>0.27208480565371024</v>
      </c>
      <c r="DG223" s="21">
        <f t="shared" ca="1" si="262"/>
        <v>0.40812720848056538</v>
      </c>
      <c r="DI223" s="16" cm="1">
        <f t="array" aca="1" ref="DI223" ca="1">MAX(_xlfn._xlws.FILTER(CT223:DG223,CT223:DG223&lt;BR223))</f>
        <v>4.8014965703595924E-2</v>
      </c>
      <c r="DJ223" s="16" cm="1">
        <f t="array" aca="1" ref="DJ223" ca="1">MIN(_xlfn._xlws.FILTER(CT223:DG223,CT223:DG223&gt;BR223))</f>
        <v>9.0694935217903422E-2</v>
      </c>
      <c r="DK223" s="2" cm="1">
        <f t="array" aca="1" ref="DK223" ca="1">_FV(EC223,"Fechamento anterior",TRUE)</f>
        <v>8.15</v>
      </c>
      <c r="DL223" s="28">
        <f t="shared" ca="1" si="235"/>
        <v>5.3696916580350418E-2</v>
      </c>
      <c r="DM223" s="15">
        <f t="shared" ca="1" si="263"/>
        <v>8.541321970484308</v>
      </c>
      <c r="DN223" s="15">
        <f t="shared" ca="1" si="264"/>
        <v>8.8891637220259128</v>
      </c>
      <c r="DO223" s="9"/>
      <c r="DP223" s="9"/>
      <c r="DQ223" s="9"/>
      <c r="DR223" s="89">
        <v>3.9285143742229432E-2</v>
      </c>
      <c r="DS223" s="89">
        <v>2.3355021715976001E-2</v>
      </c>
      <c r="DT223" s="89">
        <v>2.3279983371440445E-2</v>
      </c>
      <c r="DU223" s="89">
        <v>4.2679969514307498E-2</v>
      </c>
      <c r="DV223" s="89">
        <f t="shared" ca="1" si="236"/>
        <v>4.2679969514307498E-2</v>
      </c>
      <c r="DW223" s="72">
        <f t="shared" ca="1" si="237"/>
        <v>-0.3459668339497477</v>
      </c>
      <c r="DX223" s="37"/>
      <c r="DY223" s="35">
        <f t="shared" si="247"/>
        <v>0.23990738953928797</v>
      </c>
      <c r="DZ223" s="56"/>
      <c r="EA223" s="56"/>
      <c r="EC223" s="2" t="e" vm="225">
        <v>#VALUE!</v>
      </c>
      <c r="EE223" s="10" cm="1">
        <f t="array" aca="1" ref="EE223" ca="1">_FV(EC223,"Ações em circulação",TRUE)</f>
        <v>330121700</v>
      </c>
      <c r="EF223" s="18">
        <f>VLOOKUP(BM223,Fundamentus!A:U,5,FALSE)</f>
        <v>1.772</v>
      </c>
      <c r="EG223" s="2">
        <f t="shared" ca="1" si="238"/>
        <v>1594718821.670429</v>
      </c>
      <c r="EH223" s="17">
        <v>13514125710.481716</v>
      </c>
      <c r="EI223" s="17">
        <f t="shared" ca="1" si="239"/>
        <v>13514125710.481716</v>
      </c>
      <c r="EK223" s="16">
        <f t="shared" ca="1" si="226"/>
        <v>0</v>
      </c>
      <c r="EL223" s="32" t="str">
        <f>IF(VLOOKUP(BM223,Fundamentus!A:U,3,FALSE)&lt;15,"Bom",IF(VLOOKUP(BM223,Fundamentus!A:U,3,FALSE)&gt;15,"Ruim","n/a"))</f>
        <v>Bom</v>
      </c>
      <c r="EM223" s="28" t="str">
        <f>IF(VLOOKUP(BM223,Fundamentus!A:U,4,FALSE)&lt;1,"Baixo",IF(VLOOKUP(BM223,Fundamentus!A:U,4,FALSE)&lt;1.5,"Moderado",IF(VLOOKUP(BM223,Fundamentus!A:U,4,FALSE)&gt;1.5,"Alto","n/a")))</f>
        <v>Baixo</v>
      </c>
      <c r="EN223" s="17" t="str">
        <f>IF(VLOOKUP(BM223,Fundamentus!A:U,8,FALSE)&lt;0,"Risco elevado",IF(VLOOKUP(BM223,Fundamentus!A:U,8,FALSE)&lt;1,"Saudável",IF(VLOOKUP(BM223,Fundamentus!A:U,8,FALSE)&lt;3,"Estável",IF(VLOOKUP(BM223,Fundamentus!A:U,8,FALSE)&gt;3,"Alerta","n/a"))))</f>
        <v>Risco elevado</v>
      </c>
      <c r="EO223" s="28" t="str">
        <f t="shared" si="240"/>
        <v>Bom</v>
      </c>
      <c r="EP223" s="17" t="str">
        <f>IF(VLOOKUP(BM223,Fundamentus!A:U,12,FALSE)&lt;2,"Subvalorizada",IF(VLOOKUP(BM223,Fundamentus!A:U,12,FALSE)&lt;6,"Muita barata",IF(VLOOKUP(BM223,Fundamentus!A:U,12,FALSE)&lt;6,"Barata",IF(VLOOKUP(BM223,Fundamentus!A:U,12,FALSE)&lt;8,"Atrativa",IF(VLOOKUP(BM223,Fundamentus!A:U,12,FALSE)&gt;8,"Supervalorizada","n/a")))))</f>
        <v>Subvalorizada</v>
      </c>
      <c r="ER223" s="17" t="str">
        <f>IF(VLOOKUP(BM223,Fundamentus!A:U,17,FALSE)&lt;0.1,"Fraco retorno",IF(VLOOKUP(BM223,Fundamentus!A:U,17,FALSE)&gt;0.1,"Bom retorno","n/a"))</f>
        <v>Fraco retorno</v>
      </c>
      <c r="ES223" s="17" t="str">
        <f>IF(VLOOKUP(BM223,Fundamentus!A:U,16,FALSE)&lt;0.1,"Ineficiente",IF(VLOOKUP(BM223,Fundamentus!A:U,16,FALSE)&gt;0.1,"Eficiente","n/a"))</f>
        <v>Ineficiente</v>
      </c>
      <c r="ET223" s="33" t="str">
        <f>IF(VLOOKUP(BM223,Fundamentus!A:U,16,FALSE)&lt;0.1,"Oper. Ineficiente",IF(VLOOKUP(BM223,Fundamentus!A:U,16,FALSE)&gt;0.1,"Oper.Eficiente","n/a"))</f>
        <v>Oper. Ineficiente</v>
      </c>
      <c r="EU223" s="34">
        <f>VLOOKUP(BM223,Fundamentus!A:U,14,FALSE)</f>
        <v>8.4742999999999995</v>
      </c>
      <c r="EV223" s="17" t="str">
        <f>IF(VLOOKUP(BM223,Fundamentus!A:U,21,FALSE)&lt;0,"Negativo",IF(VLOOKUP(BM223,Fundamentus!A:U,21,FALSE)&lt;0.05,"Fraco",IF(VLOOKUP(BM223,Fundamentus!A:U,21,FALSE)&lt;0.1,"Bom",IF(VLOOKUP(BM223,Fundamentus!A:U,21,FALSE)&gt;0.1,"Muito bom","n/a"))))</f>
        <v>Negativo</v>
      </c>
      <c r="EX223" s="29" t="str">
        <f>IF(VLOOKUP(BM223,Fundamentus!A:U,15,FALSE)&gt;1,"Bom",IF(VLOOKUP(BM223,Fundamentus!A:U,15,FALSE)&lt;1,"Ruim","n/a"))</f>
        <v>Ruim</v>
      </c>
      <c r="EY223" s="17" t="str">
        <f>IF(VLOOKUP(BM223,Fundamentus!A:U,20,FALSE)&lt;0.5,"Baixa",IF(VLOOKUP(BM223,Fundamentus!A:U,20,FALSE)&lt;1,"Moderada",IF(VLOOKUP(BM223,Fundamentus!A:U,20,FALSE)&lt;2,"Alerta",IF(VLOOKUP(BM223,Fundamentus!A:U,20,FALSE)&gt;2,"Alta","n/a"))))</f>
        <v>Baixa</v>
      </c>
    </row>
    <row r="224" spans="1:156" s="2" customFormat="1" ht="11.25" x14ac:dyDescent="0.2">
      <c r="A224" s="4">
        <v>5.65</v>
      </c>
      <c r="B224" s="4">
        <v>5.48</v>
      </c>
      <c r="C224" s="4">
        <v>5.39</v>
      </c>
      <c r="D224" s="4">
        <v>5.21</v>
      </c>
      <c r="E224" s="4">
        <v>5.26</v>
      </c>
      <c r="F224" s="4">
        <v>5.3</v>
      </c>
      <c r="G224" s="4">
        <v>5.45</v>
      </c>
      <c r="H224" s="4">
        <v>5.82</v>
      </c>
      <c r="I224" s="4">
        <v>5.84</v>
      </c>
      <c r="J224" s="4">
        <v>5.97</v>
      </c>
      <c r="K224" s="4">
        <v>6.46</v>
      </c>
      <c r="L224" s="4">
        <v>6.15</v>
      </c>
      <c r="M224" s="4">
        <v>6.29</v>
      </c>
      <c r="N224" s="4">
        <v>6.23</v>
      </c>
      <c r="O224" s="4">
        <v>6.11</v>
      </c>
      <c r="P224" s="4">
        <v>6.05</v>
      </c>
      <c r="Q224" s="4">
        <v>6.37</v>
      </c>
      <c r="R224" s="4">
        <v>6.19</v>
      </c>
      <c r="S224" s="4">
        <v>6.2</v>
      </c>
      <c r="T224" s="4">
        <v>6.28</v>
      </c>
      <c r="U224" s="4">
        <v>5.61</v>
      </c>
      <c r="V224" s="4">
        <v>5.7</v>
      </c>
      <c r="W224" s="4">
        <v>5.68</v>
      </c>
      <c r="X224" s="4">
        <v>5.72</v>
      </c>
      <c r="Y224" s="4">
        <v>5.53</v>
      </c>
      <c r="Z224" s="4">
        <v>5.44</v>
      </c>
      <c r="AA224" s="4">
        <v>5.49</v>
      </c>
      <c r="AB224" s="4">
        <v>5.4</v>
      </c>
      <c r="AC224" s="4">
        <v>5.84</v>
      </c>
      <c r="AD224" s="4">
        <v>5.58</v>
      </c>
      <c r="AE224" s="4">
        <v>5.31</v>
      </c>
      <c r="AF224" s="4">
        <v>5.45</v>
      </c>
      <c r="AG224" s="4">
        <v>5.03</v>
      </c>
      <c r="AH224" s="4">
        <v>5.07</v>
      </c>
      <c r="AI224" s="4">
        <v>5.25</v>
      </c>
      <c r="AJ224" s="4">
        <v>5.14</v>
      </c>
      <c r="AK224" s="4">
        <v>5.18</v>
      </c>
      <c r="AL224" s="4">
        <v>5.17</v>
      </c>
      <c r="AM224" s="4">
        <v>5.09</v>
      </c>
      <c r="AN224" s="4">
        <v>5.58</v>
      </c>
      <c r="AO224" s="4">
        <v>5.25</v>
      </c>
      <c r="AP224" s="4">
        <v>5.4</v>
      </c>
      <c r="AQ224" s="4">
        <v>5.46</v>
      </c>
      <c r="AR224" s="4">
        <v>5.35</v>
      </c>
      <c r="AS224" s="4">
        <v>5.25</v>
      </c>
      <c r="AT224" s="4">
        <v>5.3</v>
      </c>
      <c r="AU224" s="4">
        <v>5.2</v>
      </c>
      <c r="AV224" s="4">
        <v>5.35</v>
      </c>
      <c r="AW224" s="4">
        <v>5.31</v>
      </c>
      <c r="AX224" s="4">
        <v>4.95</v>
      </c>
      <c r="AY224" s="12">
        <v>4.9000000000000004</v>
      </c>
      <c r="AZ224" s="12">
        <v>5.01</v>
      </c>
      <c r="BA224" s="12">
        <v>5.2</v>
      </c>
      <c r="BB224" s="15">
        <v>5.2</v>
      </c>
      <c r="BC224" s="52">
        <v>5</v>
      </c>
      <c r="BD224" s="52">
        <v>4.8</v>
      </c>
      <c r="BE224" s="52">
        <v>4.62</v>
      </c>
      <c r="BF224" s="52">
        <v>4.5599999999999996</v>
      </c>
      <c r="BG224" s="67">
        <v>4.49</v>
      </c>
      <c r="BH224" s="52">
        <v>4.3499999999999996</v>
      </c>
      <c r="BI224" s="52">
        <v>4.8099999999999996</v>
      </c>
      <c r="BJ224" s="52">
        <v>4.95</v>
      </c>
      <c r="BK224" s="52">
        <v>4.96</v>
      </c>
      <c r="BL224" s="52" cm="1">
        <f t="array" aca="1" ref="BL224" ca="1">_FV(EC224,"Preço")</f>
        <v>4.96</v>
      </c>
      <c r="BM224" s="69" t="s">
        <v>220</v>
      </c>
      <c r="BN224" s="36" cm="1">
        <f t="array" aca="1" ref="BN224" ca="1">_FV(EC224,"Média de volume",TRUE)</f>
        <v>147320</v>
      </c>
      <c r="BO224" s="36">
        <v>109300</v>
      </c>
      <c r="BP224" s="36" cm="1">
        <f t="array" aca="1" ref="BP224" ca="1">_FV(EC224,"Volume")</f>
        <v>109300</v>
      </c>
      <c r="BQ224" s="24" cm="1">
        <f t="array" aca="1" ref="BQ224" ca="1">_FV(EC224,"Beta")</f>
        <v>1.0293000000000001</v>
      </c>
      <c r="BR224" s="71" cm="1">
        <f t="array" aca="1" ref="BR224" ca="1">_FV(EC224,"Variação (%)",TRUE)</f>
        <v>8.1300000000000001E-3</v>
      </c>
      <c r="BT224" s="17" cm="1">
        <f t="array" aca="1" ref="BT224" ca="1">_FV(EC224,"Baixo")</f>
        <v>4.8499999999999996</v>
      </c>
      <c r="BU224" s="17" cm="1">
        <f t="array" aca="1" ref="BU224" ca="1">_FV(EC224,"Alto")</f>
        <v>4.96</v>
      </c>
      <c r="BV224" s="24"/>
      <c r="BW224" s="63">
        <f ca="1">SQRT(22.5*(BL224/VLOOKUP(BM224,Fundamentus!A:U,3,FALSE))*(BL224/VLOOKUP(BM224,Fundamentus!A:U,4,FALSE)))</f>
        <v>7.4703539532066348</v>
      </c>
      <c r="BY224" s="62">
        <f t="shared" ca="1" si="241"/>
        <v>0</v>
      </c>
      <c r="BZ224" s="8"/>
      <c r="CA224" s="61">
        <f t="shared" si="242"/>
        <v>4.3499999999999996</v>
      </c>
      <c r="CB224" s="61">
        <f t="shared" si="243"/>
        <v>6.46</v>
      </c>
      <c r="CC224" s="61">
        <f t="shared" si="244"/>
        <v>5.4226984126984128</v>
      </c>
      <c r="CD224" s="14"/>
      <c r="CE224" s="35">
        <f t="shared" si="227"/>
        <v>4.398857385563856</v>
      </c>
      <c r="CF224" s="15">
        <f t="shared" si="245"/>
        <v>4.8659999999999854</v>
      </c>
      <c r="CG224" s="35">
        <f t="shared" si="228"/>
        <v>5.3331426144361149</v>
      </c>
      <c r="CI224" s="14"/>
      <c r="CJ224" s="17">
        <f t="shared" si="229"/>
        <v>1.9366666666666656</v>
      </c>
      <c r="CK224" s="17">
        <f t="shared" si="230"/>
        <v>3.1433333333333326</v>
      </c>
      <c r="CL224" s="17">
        <f t="shared" si="231"/>
        <v>4.046666666666666</v>
      </c>
      <c r="CM224" s="38">
        <f t="shared" si="246"/>
        <v>5.253333333333333</v>
      </c>
      <c r="CN224" s="17">
        <f t="shared" si="232"/>
        <v>6.1566666666666663</v>
      </c>
      <c r="CO224" s="17">
        <f t="shared" si="233"/>
        <v>7.3633333333333333</v>
      </c>
      <c r="CP224" s="17">
        <f t="shared" si="234"/>
        <v>8.2666666666666657</v>
      </c>
      <c r="CQ224" s="2" cm="1">
        <f t="array" aca="1" ref="CQ224" ca="1">MAX(_xlfn._xlws.FILTER(CJ224:CP224,CJ224:CP224&lt;BL224))</f>
        <v>4.046666666666666</v>
      </c>
      <c r="CR224" s="2" cm="1">
        <f t="array" aca="1" ref="CR224" ca="1">MIN(_xlfn._xlws.FILTER($CJ224:$CP224,$CJ224:$CP224&gt;BL224))</f>
        <v>5.253333333333333</v>
      </c>
      <c r="CS224" s="16">
        <f t="shared" ca="1" si="248"/>
        <v>0.2981878088962111</v>
      </c>
      <c r="CT224" s="20">
        <f t="shared" ca="1" si="249"/>
        <v>-0.14909390444810555</v>
      </c>
      <c r="CU224" s="20">
        <f t="shared" ca="1" si="250"/>
        <v>-9.9395936298737039E-2</v>
      </c>
      <c r="CV224" s="20">
        <f t="shared" ca="1" si="251"/>
        <v>-5.9637561779242218E-2</v>
      </c>
      <c r="CW224" s="20">
        <f t="shared" ca="1" si="252"/>
        <v>-3.3131978766245677E-2</v>
      </c>
      <c r="CX224" s="20">
        <f t="shared" ca="1" si="253"/>
        <v>-1.7540459346835947E-2</v>
      </c>
      <c r="CY224" s="20">
        <f t="shared" ca="1" si="254"/>
        <v>-9.0359942089760937E-3</v>
      </c>
      <c r="CZ224" s="20">
        <f t="shared" ca="1" si="255"/>
        <v>-4.5875047522494017E-3</v>
      </c>
      <c r="DA224" s="21">
        <f t="shared" ca="1" si="256"/>
        <v>4.5875047522494017E-3</v>
      </c>
      <c r="DB224" s="21">
        <f t="shared" ca="1" si="257"/>
        <v>9.0359942089760937E-3</v>
      </c>
      <c r="DC224" s="21">
        <f t="shared" ca="1" si="258"/>
        <v>1.7540459346835947E-2</v>
      </c>
      <c r="DD224" s="21">
        <f t="shared" ca="1" si="259"/>
        <v>3.3131978766245677E-2</v>
      </c>
      <c r="DE224" s="21">
        <f t="shared" ca="1" si="260"/>
        <v>5.9637561779242218E-2</v>
      </c>
      <c r="DF224" s="21">
        <f t="shared" ca="1" si="261"/>
        <v>9.9395936298737039E-2</v>
      </c>
      <c r="DG224" s="21">
        <f t="shared" ca="1" si="262"/>
        <v>0.14909390444810555</v>
      </c>
      <c r="DI224" s="16" cm="1">
        <f t="array" aca="1" ref="DI224" ca="1">MAX(_xlfn._xlws.FILTER(CT224:DG224,CT224:DG224&lt;BR224))</f>
        <v>4.5875047522494017E-3</v>
      </c>
      <c r="DJ224" s="16" cm="1">
        <f t="array" aca="1" ref="DJ224" ca="1">MIN(_xlfn._xlws.FILTER(CT224:DG224,CT224:DG224&gt;BR224))</f>
        <v>9.0359942089760937E-3</v>
      </c>
      <c r="DK224" s="2" cm="1">
        <f t="array" aca="1" ref="DK224" ca="1">_FV(EC224,"Fechamento anterior",TRUE)</f>
        <v>4.92</v>
      </c>
      <c r="DL224" s="28">
        <f t="shared" ca="1" si="235"/>
        <v>0.79635493868750706</v>
      </c>
      <c r="DM224" s="15">
        <f t="shared" ca="1" si="263"/>
        <v>4.9425705233810673</v>
      </c>
      <c r="DN224" s="15">
        <f t="shared" ca="1" si="264"/>
        <v>4.9644570915081623</v>
      </c>
      <c r="DO224" s="9"/>
      <c r="DP224" s="9"/>
      <c r="DQ224" s="9"/>
      <c r="DR224" s="89">
        <v>1.425158334375989E-2</v>
      </c>
      <c r="DS224" s="89">
        <v>1.7914180164819549E-2</v>
      </c>
      <c r="DT224" s="89">
        <v>9.1750095044988034E-3</v>
      </c>
      <c r="DU224" s="89">
        <v>4.448489456726692E-3</v>
      </c>
      <c r="DV224" s="89">
        <f t="shared" ca="1" si="236"/>
        <v>4.448489456726692E-3</v>
      </c>
      <c r="DW224" s="72">
        <f t="shared" ca="1" si="237"/>
        <v>0.20122334613697881</v>
      </c>
      <c r="DX224" s="37"/>
      <c r="DY224" s="35">
        <f t="shared" si="247"/>
        <v>0.23357130721806477</v>
      </c>
      <c r="DZ224" s="56"/>
      <c r="EA224" s="56"/>
      <c r="EC224" s="2" t="e" vm="226">
        <v>#VALUE!</v>
      </c>
      <c r="EE224" s="10" cm="1">
        <f t="array" aca="1" ref="EE224" ca="1">_FV(EC224,"Ações em circulação",TRUE)</f>
        <v>150314000</v>
      </c>
      <c r="EF224" s="18">
        <f>VLOOKUP(BM224,Fundamentus!A:U,5,FALSE)</f>
        <v>0.84099999999999997</v>
      </c>
      <c r="EG224" s="2">
        <f t="shared" ca="1" si="238"/>
        <v>886513008.32342458</v>
      </c>
      <c r="EH224" s="17">
        <v>80140775.95243758</v>
      </c>
      <c r="EI224" s="17">
        <f t="shared" ca="1" si="239"/>
        <v>80140775.95243758</v>
      </c>
      <c r="EK224" s="16">
        <f t="shared" ca="1" si="226"/>
        <v>0</v>
      </c>
      <c r="EL224" s="32" t="str">
        <f>IF(VLOOKUP(BM224,Fundamentus!A:U,3,FALSE)&lt;15,"Bom",IF(VLOOKUP(BM224,Fundamentus!A:U,3,FALSE)&gt;15,"Ruim","n/a"))</f>
        <v>Bom</v>
      </c>
      <c r="EM224" s="28" t="str">
        <f>IF(VLOOKUP(BM224,Fundamentus!A:U,4,FALSE)&lt;1,"Baixo",IF(VLOOKUP(BM224,Fundamentus!A:U,4,FALSE)&lt;1.5,"Moderado",IF(VLOOKUP(BM224,Fundamentus!A:U,4,FALSE)&gt;1.5,"Alto","n/a")))</f>
        <v>Moderado</v>
      </c>
      <c r="EN224" s="17" t="str">
        <f>IF(VLOOKUP(BM224,Fundamentus!A:U,8,FALSE)&lt;0,"Risco elevado",IF(VLOOKUP(BM224,Fundamentus!A:U,8,FALSE)&lt;1,"Saudável",IF(VLOOKUP(BM224,Fundamentus!A:U,8,FALSE)&lt;3,"Estável",IF(VLOOKUP(BM224,Fundamentus!A:U,8,FALSE)&gt;3,"Alerta","n/a"))))</f>
        <v>Estável</v>
      </c>
      <c r="EO224" s="28" t="str">
        <f t="shared" si="240"/>
        <v>Ruim</v>
      </c>
      <c r="EP224" s="17" t="str">
        <f>IF(VLOOKUP(BM224,Fundamentus!A:U,12,FALSE)&lt;2,"Subvalorizada",IF(VLOOKUP(BM224,Fundamentus!A:U,12,FALSE)&lt;6,"Muita barata",IF(VLOOKUP(BM224,Fundamentus!A:U,12,FALSE)&lt;6,"Barata",IF(VLOOKUP(BM224,Fundamentus!A:U,12,FALSE)&lt;8,"Atrativa",IF(VLOOKUP(BM224,Fundamentus!A:U,12,FALSE)&gt;8,"Supervalorizada","n/a")))))</f>
        <v>Supervalorizada</v>
      </c>
      <c r="ER224" s="17" t="str">
        <f>IF(VLOOKUP(BM224,Fundamentus!A:U,17,FALSE)&lt;0.1,"Fraco retorno",IF(VLOOKUP(BM224,Fundamentus!A:U,17,FALSE)&gt;0.1,"Bom retorno","n/a"))</f>
        <v>Bom retorno</v>
      </c>
      <c r="ES224" s="17" t="str">
        <f>IF(VLOOKUP(BM224,Fundamentus!A:U,16,FALSE)&lt;0.1,"Ineficiente",IF(VLOOKUP(BM224,Fundamentus!A:U,16,FALSE)&gt;0.1,"Eficiente","n/a"))</f>
        <v>Ineficiente</v>
      </c>
      <c r="ET224" s="33" t="str">
        <f>IF(VLOOKUP(BM224,Fundamentus!A:U,16,FALSE)&lt;0.1,"Oper. Ineficiente",IF(VLOOKUP(BM224,Fundamentus!A:U,16,FALSE)&gt;0.1,"Oper.Eficiente","n/a"))</f>
        <v>Oper. Ineficiente</v>
      </c>
      <c r="EU224" s="34">
        <f>VLOOKUP(BM224,Fundamentus!A:U,14,FALSE)</f>
        <v>9.0399999999999994E-2</v>
      </c>
      <c r="EV224" s="17" t="str">
        <f>IF(VLOOKUP(BM224,Fundamentus!A:U,21,FALSE)&lt;0,"Negativo",IF(VLOOKUP(BM224,Fundamentus!A:U,21,FALSE)&lt;0.05,"Fraco",IF(VLOOKUP(BM224,Fundamentus!A:U,21,FALSE)&lt;0.1,"Bom",IF(VLOOKUP(BM224,Fundamentus!A:U,21,FALSE)&gt;0.1,"Muito bom","n/a"))))</f>
        <v>Bom</v>
      </c>
      <c r="EX224" s="29" t="str">
        <f>IF(VLOOKUP(BM224,Fundamentus!A:U,15,FALSE)&gt;1,"Bom",IF(VLOOKUP(BM224,Fundamentus!A:U,15,FALSE)&lt;1,"Ruim","n/a"))</f>
        <v>Bom</v>
      </c>
      <c r="EY224" s="17" t="str">
        <f>IF(VLOOKUP(BM224,Fundamentus!A:U,20,FALSE)&lt;0.5,"Baixa",IF(VLOOKUP(BM224,Fundamentus!A:U,20,FALSE)&lt;1,"Moderada",IF(VLOOKUP(BM224,Fundamentus!A:U,20,FALSE)&lt;2,"Alerta",IF(VLOOKUP(BM224,Fundamentus!A:U,20,FALSE)&gt;2,"Alta","n/a"))))</f>
        <v>Baixa</v>
      </c>
    </row>
    <row r="225" spans="1:155" s="2" customFormat="1" ht="11.25" x14ac:dyDescent="0.2">
      <c r="A225" s="4">
        <v>6.04</v>
      </c>
      <c r="B225" s="4">
        <v>6.05</v>
      </c>
      <c r="C225" s="4">
        <v>4.8</v>
      </c>
      <c r="D225" s="4">
        <v>4.47</v>
      </c>
      <c r="E225" s="4">
        <v>4.18</v>
      </c>
      <c r="F225" s="4">
        <v>4.12</v>
      </c>
      <c r="G225" s="4">
        <v>4.0199999999999996</v>
      </c>
      <c r="H225" s="4">
        <v>4.1500000000000004</v>
      </c>
      <c r="I225" s="4">
        <v>4.62</v>
      </c>
      <c r="J225" s="4">
        <v>4.91</v>
      </c>
      <c r="K225" s="4">
        <v>5.08</v>
      </c>
      <c r="L225" s="4">
        <v>4.7699999999999996</v>
      </c>
      <c r="M225" s="4">
        <v>4.93</v>
      </c>
      <c r="N225" s="4">
        <v>4.3499999999999996</v>
      </c>
      <c r="O225" s="4">
        <v>4.9400000000000004</v>
      </c>
      <c r="P225" s="4">
        <v>4.62</v>
      </c>
      <c r="Q225" s="4">
        <v>5.29</v>
      </c>
      <c r="R225" s="4">
        <v>4.8899999999999997</v>
      </c>
      <c r="S225" s="4">
        <v>4.91</v>
      </c>
      <c r="T225" s="4">
        <v>5.08</v>
      </c>
      <c r="U225" s="4">
        <v>4.75</v>
      </c>
      <c r="V225" s="4">
        <v>4.6399999999999997</v>
      </c>
      <c r="W225" s="4">
        <v>4.6500000000000004</v>
      </c>
      <c r="X225" s="4">
        <v>4.63</v>
      </c>
      <c r="Y225" s="4">
        <v>4.5199999999999996</v>
      </c>
      <c r="Z225" s="4">
        <v>4.28</v>
      </c>
      <c r="AA225" s="4">
        <v>4</v>
      </c>
      <c r="AB225" s="4">
        <v>4.04</v>
      </c>
      <c r="AC225" s="4">
        <v>4.08</v>
      </c>
      <c r="AD225" s="4">
        <v>4.2699999999999996</v>
      </c>
      <c r="AE225" s="4">
        <v>4.17</v>
      </c>
      <c r="AF225" s="4">
        <v>3.85</v>
      </c>
      <c r="AG225" s="4">
        <v>3.91</v>
      </c>
      <c r="AH225" s="4">
        <v>3.74</v>
      </c>
      <c r="AI225" s="4">
        <v>3.56</v>
      </c>
      <c r="AJ225" s="4">
        <v>3.36</v>
      </c>
      <c r="AK225" s="4">
        <v>3.4</v>
      </c>
      <c r="AL225" s="4">
        <v>3.53</v>
      </c>
      <c r="AM225" s="4">
        <v>3.42</v>
      </c>
      <c r="AN225" s="4">
        <v>3.66</v>
      </c>
      <c r="AO225" s="4">
        <v>3.53</v>
      </c>
      <c r="AP225" s="4">
        <v>3.69</v>
      </c>
      <c r="AQ225" s="4">
        <v>3.99</v>
      </c>
      <c r="AR225" s="4">
        <v>3.56</v>
      </c>
      <c r="AS225" s="4">
        <v>3.7</v>
      </c>
      <c r="AT225" s="4">
        <v>3.5</v>
      </c>
      <c r="AU225" s="4">
        <v>3.54</v>
      </c>
      <c r="AV225" s="4">
        <v>3.62</v>
      </c>
      <c r="AW225" s="4">
        <v>3.67</v>
      </c>
      <c r="AX225" s="4">
        <v>3.72</v>
      </c>
      <c r="AY225" s="12">
        <v>4.25</v>
      </c>
      <c r="AZ225" s="12">
        <v>4.3499999999999996</v>
      </c>
      <c r="BA225" s="12">
        <v>4.2300000000000004</v>
      </c>
      <c r="BB225" s="15">
        <v>4.08</v>
      </c>
      <c r="BC225" s="52">
        <v>4.17</v>
      </c>
      <c r="BD225" s="52">
        <v>5</v>
      </c>
      <c r="BE225" s="52">
        <v>5.15</v>
      </c>
      <c r="BF225" s="52">
        <v>4.7699999999999996</v>
      </c>
      <c r="BG225" s="67">
        <v>5.26</v>
      </c>
      <c r="BH225" s="52">
        <v>4.79</v>
      </c>
      <c r="BI225" s="52">
        <v>4.6500000000000004</v>
      </c>
      <c r="BJ225" s="52">
        <v>4.6399999999999997</v>
      </c>
      <c r="BK225" s="52">
        <v>4.24</v>
      </c>
      <c r="BL225" s="52" cm="1">
        <f t="array" aca="1" ref="BL225" ca="1">_FV(EC225,"Preço")</f>
        <v>4.24</v>
      </c>
      <c r="BM225" s="69" t="s">
        <v>221</v>
      </c>
      <c r="BN225" s="36" cm="1">
        <f t="array" aca="1" ref="BN225" ca="1">_FV(EC225,"Média de volume",TRUE)</f>
        <v>187560</v>
      </c>
      <c r="BO225" s="36">
        <v>205400</v>
      </c>
      <c r="BP225" s="36" cm="1">
        <f t="array" aca="1" ref="BP225" ca="1">_FV(EC225,"Volume")</f>
        <v>205400</v>
      </c>
      <c r="BQ225" s="24" cm="1">
        <f t="array" aca="1" ref="BQ225" ca="1">_FV(EC225,"Beta")</f>
        <v>1.7479</v>
      </c>
      <c r="BR225" s="71" cm="1">
        <f t="array" aca="1" ref="BR225" ca="1">_FV(EC225,"Variação (%)",TRUE)</f>
        <v>-4.0724000000000003E-2</v>
      </c>
      <c r="BT225" s="17" cm="1">
        <f t="array" aca="1" ref="BT225" ca="1">_FV(EC225,"Baixo")</f>
        <v>4.1500000000000004</v>
      </c>
      <c r="BU225" s="17" cm="1">
        <f t="array" aca="1" ref="BU225" ca="1">_FV(EC225,"Alto")</f>
        <v>4.3600000000000003</v>
      </c>
      <c r="BV225" s="24"/>
      <c r="BW225" s="63" t="e">
        <f ca="1">SQRT(22.5*(BL225/VLOOKUP(BM225,Fundamentus!A:U,3,FALSE))*(BL225/VLOOKUP(BM225,Fundamentus!A:U,4,FALSE)))</f>
        <v>#NUM!</v>
      </c>
      <c r="BY225" s="62">
        <f t="shared" ca="1" si="241"/>
        <v>0</v>
      </c>
      <c r="BZ225" s="8"/>
      <c r="CA225" s="61">
        <f t="shared" si="242"/>
        <v>3.36</v>
      </c>
      <c r="CB225" s="61">
        <f t="shared" si="243"/>
        <v>6.05</v>
      </c>
      <c r="CC225" s="61">
        <f t="shared" si="244"/>
        <v>4.3298412698412694</v>
      </c>
      <c r="CD225" s="14"/>
      <c r="CE225" s="35">
        <f t="shared" si="227"/>
        <v>3.8966945222084166</v>
      </c>
      <c r="CF225" s="15">
        <f t="shared" si="245"/>
        <v>4.4970000000000709</v>
      </c>
      <c r="CG225" s="35">
        <f t="shared" si="228"/>
        <v>5.0973054777917248</v>
      </c>
      <c r="CI225" s="14"/>
      <c r="CJ225" s="17">
        <f t="shared" si="229"/>
        <v>0.62666666666666737</v>
      </c>
      <c r="CK225" s="17">
        <f t="shared" si="230"/>
        <v>1.9933333333333336</v>
      </c>
      <c r="CL225" s="17">
        <f t="shared" si="231"/>
        <v>3.3166666666666673</v>
      </c>
      <c r="CM225" s="38">
        <f t="shared" si="246"/>
        <v>4.6833333333333336</v>
      </c>
      <c r="CN225" s="17">
        <f t="shared" si="232"/>
        <v>6.0066666666666677</v>
      </c>
      <c r="CO225" s="17">
        <f t="shared" si="233"/>
        <v>7.3733333333333331</v>
      </c>
      <c r="CP225" s="17">
        <f t="shared" si="234"/>
        <v>8.6966666666666672</v>
      </c>
      <c r="CQ225" s="2" cm="1">
        <f t="array" aca="1" ref="CQ225" ca="1">MAX(_xlfn._xlws.FILTER(CJ225:CP225,CJ225:CP225&lt;BL225))</f>
        <v>3.3166666666666673</v>
      </c>
      <c r="CR225" s="2" cm="1">
        <f t="array" aca="1" ref="CR225" ca="1">MIN(_xlfn._xlws.FILTER($CJ225:$CP225,$CJ225:$CP225&gt;BL225))</f>
        <v>4.6833333333333336</v>
      </c>
      <c r="CS225" s="16">
        <f t="shared" ca="1" si="248"/>
        <v>0.41206030150753747</v>
      </c>
      <c r="CT225" s="20">
        <f t="shared" ca="1" si="249"/>
        <v>-0.20603015075376874</v>
      </c>
      <c r="CU225" s="20">
        <f t="shared" ca="1" si="250"/>
        <v>-0.13735343383584583</v>
      </c>
      <c r="CV225" s="20">
        <f t="shared" ca="1" si="251"/>
        <v>-8.2412060301507495E-2</v>
      </c>
      <c r="CW225" s="20">
        <f t="shared" ca="1" si="252"/>
        <v>-4.578447794528194E-2</v>
      </c>
      <c r="CX225" s="20">
        <f t="shared" ca="1" si="253"/>
        <v>-2.4238841265149264E-2</v>
      </c>
      <c r="CY225" s="20">
        <f t="shared" ca="1" si="254"/>
        <v>-1.2486675803258712E-2</v>
      </c>
      <c r="CZ225" s="20">
        <f t="shared" ca="1" si="255"/>
        <v>-6.3393892539621152E-3</v>
      </c>
      <c r="DA225" s="21">
        <f t="shared" ca="1" si="256"/>
        <v>6.3393892539621152E-3</v>
      </c>
      <c r="DB225" s="21">
        <f t="shared" ca="1" si="257"/>
        <v>1.2486675803258712E-2</v>
      </c>
      <c r="DC225" s="21">
        <f t="shared" ca="1" si="258"/>
        <v>2.4238841265149264E-2</v>
      </c>
      <c r="DD225" s="21">
        <f t="shared" ca="1" si="259"/>
        <v>4.578447794528194E-2</v>
      </c>
      <c r="DE225" s="21">
        <f t="shared" ca="1" si="260"/>
        <v>8.2412060301507495E-2</v>
      </c>
      <c r="DF225" s="21">
        <f t="shared" ca="1" si="261"/>
        <v>0.13735343383584583</v>
      </c>
      <c r="DG225" s="21">
        <f t="shared" ca="1" si="262"/>
        <v>0.20603015075376874</v>
      </c>
      <c r="DI225" s="16" cm="1">
        <f t="array" aca="1" ref="DI225" ca="1">MAX(_xlfn._xlws.FILTER(CT225:DG225,CT225:DG225&lt;BR225))</f>
        <v>-4.578447794528194E-2</v>
      </c>
      <c r="DJ225" s="16" cm="1">
        <f t="array" aca="1" ref="DJ225" ca="1">MIN(_xlfn._xlws.FILTER(CT225:DG225,CT225:DG225&gt;BR225))</f>
        <v>-2.4238841265149264E-2</v>
      </c>
      <c r="DK225" s="2" cm="1">
        <f t="array" aca="1" ref="DK225" ca="1">_FV(EC225,"Fechamento anterior",TRUE)</f>
        <v>4.42</v>
      </c>
      <c r="DL225" s="28">
        <f t="shared" ca="1" si="235"/>
        <v>0.23487335834897402</v>
      </c>
      <c r="DM225" s="15">
        <f t="shared" ca="1" si="263"/>
        <v>4.2176326074818533</v>
      </c>
      <c r="DN225" s="15">
        <f t="shared" ca="1" si="264"/>
        <v>4.31286432160804</v>
      </c>
      <c r="DO225" s="9"/>
      <c r="DP225" s="9"/>
      <c r="DQ225" s="9"/>
      <c r="DR225" s="89">
        <v>1.8823529411764718E-2</v>
      </c>
      <c r="DS225" s="89">
        <v>4.6677249131236859E-3</v>
      </c>
      <c r="DT225" s="89">
        <v>1.1752165461890552E-2</v>
      </c>
      <c r="DU225" s="89">
        <v>2.1545636680132676E-2</v>
      </c>
      <c r="DV225" s="89">
        <f t="shared" ca="1" si="236"/>
        <v>2.1545636680132676E-2</v>
      </c>
      <c r="DW225" s="72">
        <f t="shared" ca="1" si="237"/>
        <v>-0.42811536710525688</v>
      </c>
      <c r="DX225" s="37"/>
      <c r="DY225" s="35">
        <f t="shared" si="247"/>
        <v>0.30015273889582716</v>
      </c>
      <c r="DZ225" s="56"/>
      <c r="EA225" s="56"/>
      <c r="EC225" s="2" t="e" vm="227">
        <v>#VALUE!</v>
      </c>
      <c r="EE225" s="10" cm="1">
        <f t="array" aca="1" ref="EE225" ca="1">_FV(EC225,"Ações em circulação",TRUE)</f>
        <v>140986900</v>
      </c>
      <c r="EF225" s="18">
        <f>VLOOKUP(BM225,Fundamentus!A:U,5,FALSE)</f>
        <v>0.3</v>
      </c>
      <c r="EG225" s="2">
        <f t="shared" ca="1" si="238"/>
        <v>1992614853.3333335</v>
      </c>
      <c r="EH225" s="17">
        <v>-91859544.738666683</v>
      </c>
      <c r="EI225" s="17">
        <f t="shared" ca="1" si="239"/>
        <v>-91859544.738666683</v>
      </c>
      <c r="EK225" s="16">
        <f t="shared" ca="1" si="226"/>
        <v>0</v>
      </c>
      <c r="EL225" s="32" t="str">
        <f>IF(VLOOKUP(BM225,Fundamentus!A:U,3,FALSE)&lt;15,"Bom",IF(VLOOKUP(BM225,Fundamentus!A:U,3,FALSE)&gt;15,"Ruim","n/a"))</f>
        <v>Bom</v>
      </c>
      <c r="EM225" s="28" t="str">
        <f>IF(VLOOKUP(BM225,Fundamentus!A:U,4,FALSE)&lt;1,"Baixo",IF(VLOOKUP(BM225,Fundamentus!A:U,4,FALSE)&lt;1.5,"Moderado",IF(VLOOKUP(BM225,Fundamentus!A:U,4,FALSE)&gt;1.5,"Alto","n/a")))</f>
        <v>Alto</v>
      </c>
      <c r="EN225" s="17" t="str">
        <f>IF(VLOOKUP(BM225,Fundamentus!A:U,8,FALSE)&lt;0,"Risco elevado",IF(VLOOKUP(BM225,Fundamentus!A:U,8,FALSE)&lt;1,"Saudável",IF(VLOOKUP(BM225,Fundamentus!A:U,8,FALSE)&lt;3,"Estável",IF(VLOOKUP(BM225,Fundamentus!A:U,8,FALSE)&gt;3,"Alerta","n/a"))))</f>
        <v>Risco elevado</v>
      </c>
      <c r="EO225" s="28" t="str">
        <f t="shared" si="240"/>
        <v>Ruim</v>
      </c>
      <c r="EP225" s="17" t="str">
        <f>IF(VLOOKUP(BM225,Fundamentus!A:U,12,FALSE)&lt;2,"Subvalorizada",IF(VLOOKUP(BM225,Fundamentus!A:U,12,FALSE)&lt;6,"Muita barata",IF(VLOOKUP(BM225,Fundamentus!A:U,12,FALSE)&lt;6,"Barata",IF(VLOOKUP(BM225,Fundamentus!A:U,12,FALSE)&lt;8,"Atrativa",IF(VLOOKUP(BM225,Fundamentus!A:U,12,FALSE)&gt;8,"Supervalorizada","n/a")))))</f>
        <v>Atrativa</v>
      </c>
      <c r="ER225" s="17" t="str">
        <f>IF(VLOOKUP(BM225,Fundamentus!A:U,17,FALSE)&lt;0.1,"Fraco retorno",IF(VLOOKUP(BM225,Fundamentus!A:U,17,FALSE)&gt;0.1,"Bom retorno","n/a"))</f>
        <v>Fraco retorno</v>
      </c>
      <c r="ES225" s="17" t="str">
        <f>IF(VLOOKUP(BM225,Fundamentus!A:U,16,FALSE)&lt;0.1,"Ineficiente",IF(VLOOKUP(BM225,Fundamentus!A:U,16,FALSE)&gt;0.1,"Eficiente","n/a"))</f>
        <v>Ineficiente</v>
      </c>
      <c r="ET225" s="33" t="str">
        <f>IF(VLOOKUP(BM225,Fundamentus!A:U,16,FALSE)&lt;0.1,"Oper. Ineficiente",IF(VLOOKUP(BM225,Fundamentus!A:U,16,FALSE)&gt;0.1,"Oper.Eficiente","n/a"))</f>
        <v>Oper. Ineficiente</v>
      </c>
      <c r="EU225" s="34">
        <f>VLOOKUP(BM225,Fundamentus!A:U,14,FALSE)</f>
        <v>-4.6100000000000002E-2</v>
      </c>
      <c r="EV225" s="17" t="str">
        <f>IF(VLOOKUP(BM225,Fundamentus!A:U,21,FALSE)&lt;0,"Negativo",IF(VLOOKUP(BM225,Fundamentus!A:U,21,FALSE)&lt;0.05,"Fraco",IF(VLOOKUP(BM225,Fundamentus!A:U,21,FALSE)&lt;0.1,"Bom",IF(VLOOKUP(BM225,Fundamentus!A:U,21,FALSE)&gt;0.1,"Muito bom","n/a"))))</f>
        <v>Muito bom</v>
      </c>
      <c r="EX225" s="29" t="str">
        <f>IF(VLOOKUP(BM225,Fundamentus!A:U,15,FALSE)&gt;1,"Bom",IF(VLOOKUP(BM225,Fundamentus!A:U,15,FALSE)&lt;1,"Ruim","n/a"))</f>
        <v>Ruim</v>
      </c>
      <c r="EY225" s="17" t="str">
        <f>IF(VLOOKUP(BM225,Fundamentus!A:U,20,FALSE)&lt;0.5,"Baixa",IF(VLOOKUP(BM225,Fundamentus!A:U,20,FALSE)&lt;1,"Moderada",IF(VLOOKUP(BM225,Fundamentus!A:U,20,FALSE)&lt;2,"Alerta",IF(VLOOKUP(BM225,Fundamentus!A:U,20,FALSE)&gt;2,"Alta","n/a"))))</f>
        <v>Alta</v>
      </c>
    </row>
    <row r="226" spans="1:155" s="2" customFormat="1" ht="11.25" x14ac:dyDescent="0.2">
      <c r="A226" s="4">
        <v>5.42</v>
      </c>
      <c r="B226" s="4">
        <v>4.4000000000000004</v>
      </c>
      <c r="C226" s="4">
        <v>3.1</v>
      </c>
      <c r="D226" s="4">
        <v>3.04</v>
      </c>
      <c r="E226" s="4">
        <v>2.85</v>
      </c>
      <c r="F226" s="4">
        <v>2.37</v>
      </c>
      <c r="G226" s="4">
        <v>2.14</v>
      </c>
      <c r="H226" s="4">
        <v>2.0299999999999998</v>
      </c>
      <c r="I226" s="4">
        <v>2.21</v>
      </c>
      <c r="J226" s="4">
        <v>2.85</v>
      </c>
      <c r="K226" s="4">
        <v>2.63</v>
      </c>
      <c r="L226" s="4">
        <v>2.37</v>
      </c>
      <c r="M226" s="4">
        <v>2.2000000000000002</v>
      </c>
      <c r="N226" s="4">
        <v>2.2000000000000002</v>
      </c>
      <c r="O226" s="4">
        <v>2.71</v>
      </c>
      <c r="P226" s="4">
        <v>2.0299999999999998</v>
      </c>
      <c r="Q226" s="4">
        <v>2.04</v>
      </c>
      <c r="R226" s="4">
        <v>1.9</v>
      </c>
      <c r="S226" s="4">
        <v>2.02</v>
      </c>
      <c r="T226" s="4">
        <v>2.2400000000000002</v>
      </c>
      <c r="U226" s="4">
        <v>1.93</v>
      </c>
      <c r="V226" s="4">
        <v>1.87</v>
      </c>
      <c r="W226" s="4">
        <v>1.8</v>
      </c>
      <c r="X226" s="4">
        <v>1.78</v>
      </c>
      <c r="Y226" s="4">
        <v>1.89</v>
      </c>
      <c r="Z226" s="4">
        <v>1.93</v>
      </c>
      <c r="AA226" s="4">
        <v>2.0699999999999998</v>
      </c>
      <c r="AB226" s="4">
        <v>2.37</v>
      </c>
      <c r="AC226" s="4">
        <v>1.93</v>
      </c>
      <c r="AD226" s="4">
        <v>1.95</v>
      </c>
      <c r="AE226" s="4">
        <v>1.98</v>
      </c>
      <c r="AF226" s="4">
        <v>1.85</v>
      </c>
      <c r="AG226" s="4">
        <v>1.89</v>
      </c>
      <c r="AH226" s="4">
        <v>1.98</v>
      </c>
      <c r="AI226" s="4">
        <v>2.12</v>
      </c>
      <c r="AJ226" s="4">
        <v>2.0499999999999998</v>
      </c>
      <c r="AK226" s="4">
        <v>1.93</v>
      </c>
      <c r="AL226" s="4">
        <v>1.9</v>
      </c>
      <c r="AM226" s="4">
        <v>1.76</v>
      </c>
      <c r="AN226" s="4">
        <v>1.66</v>
      </c>
      <c r="AO226" s="4">
        <v>1.38</v>
      </c>
      <c r="AP226" s="4">
        <v>1.6</v>
      </c>
      <c r="AQ226" s="4">
        <v>1.5</v>
      </c>
      <c r="AR226" s="4">
        <v>1.33</v>
      </c>
      <c r="AS226" s="4">
        <v>1.4</v>
      </c>
      <c r="AT226" s="4">
        <v>1.47</v>
      </c>
      <c r="AU226" s="4">
        <v>1.5049999999999999</v>
      </c>
      <c r="AV226" s="4">
        <v>1.38</v>
      </c>
      <c r="AW226" s="4">
        <v>1.29</v>
      </c>
      <c r="AX226" s="4">
        <v>1.27</v>
      </c>
      <c r="AY226" s="12">
        <v>1.25</v>
      </c>
      <c r="AZ226" s="12">
        <v>1.21</v>
      </c>
      <c r="BA226" s="12">
        <v>1.1499999999999999</v>
      </c>
      <c r="BB226" s="15">
        <v>1.1599999999999999</v>
      </c>
      <c r="BC226" s="52">
        <v>1.37</v>
      </c>
      <c r="BD226" s="52">
        <v>1.36</v>
      </c>
      <c r="BE226" s="52">
        <v>1.37</v>
      </c>
      <c r="BF226" s="52">
        <v>1.19</v>
      </c>
      <c r="BG226" s="67">
        <v>1.2</v>
      </c>
      <c r="BH226" s="52">
        <v>1.17</v>
      </c>
      <c r="BI226" s="52">
        <v>1.25</v>
      </c>
      <c r="BJ226" s="52">
        <v>1.18</v>
      </c>
      <c r="BK226" s="52">
        <v>1.19</v>
      </c>
      <c r="BL226" s="52" cm="1">
        <f t="array" aca="1" ref="BL226" ca="1">_FV(EC226,"Preço")</f>
        <v>1.19</v>
      </c>
      <c r="BM226" s="69" t="s">
        <v>222</v>
      </c>
      <c r="BN226" s="36" cm="1">
        <f t="array" aca="1" ref="BN226" ca="1">_FV(EC226,"Média de volume",TRUE)</f>
        <v>539060</v>
      </c>
      <c r="BO226" s="36">
        <v>276200</v>
      </c>
      <c r="BP226" s="36" cm="1">
        <f t="array" aca="1" ref="BP226" ca="1">_FV(EC226,"Volume")</f>
        <v>276200</v>
      </c>
      <c r="BQ226" s="24" cm="1">
        <f t="array" aca="1" ref="BQ226" ca="1">_FV(EC226,"Beta")</f>
        <v>0.95469999999999999</v>
      </c>
      <c r="BR226" s="71" cm="1">
        <f t="array" aca="1" ref="BR226" ca="1">_FV(EC226,"Variação (%)",TRUE)</f>
        <v>8.4749999999999999E-3</v>
      </c>
      <c r="BT226" s="17" cm="1">
        <f t="array" aca="1" ref="BT226" ca="1">_FV(EC226,"Baixo")</f>
        <v>1.1599999999999999</v>
      </c>
      <c r="BU226" s="17" cm="1">
        <f t="array" aca="1" ref="BU226" ca="1">_FV(EC226,"Alto")</f>
        <v>1.2</v>
      </c>
      <c r="BV226" s="24"/>
      <c r="BW226" s="63" t="e">
        <f ca="1">SQRT(22.5*(BL226/VLOOKUP(BM226,Fundamentus!A:U,3,FALSE))*(BL226/VLOOKUP(BM226,Fundamentus!A:U,4,FALSE)))</f>
        <v>#NUM!</v>
      </c>
      <c r="BY226" s="62">
        <f t="shared" ca="1" si="241"/>
        <v>0</v>
      </c>
      <c r="BZ226" s="8"/>
      <c r="CA226" s="61">
        <f t="shared" si="242"/>
        <v>1.1499999999999999</v>
      </c>
      <c r="CB226" s="61">
        <f t="shared" si="243"/>
        <v>5.42</v>
      </c>
      <c r="CC226" s="61">
        <f t="shared" si="244"/>
        <v>1.9296031746031752</v>
      </c>
      <c r="CD226" s="14"/>
      <c r="CE226" s="35">
        <f t="shared" si="227"/>
        <v>1.1457923616808761</v>
      </c>
      <c r="CF226" s="15">
        <f t="shared" si="245"/>
        <v>1.1970000000000001</v>
      </c>
      <c r="CG226" s="35">
        <f t="shared" si="228"/>
        <v>1.2482076383191241</v>
      </c>
      <c r="CI226" s="14"/>
      <c r="CJ226" s="17">
        <f t="shared" si="229"/>
        <v>-4.5233333333333334</v>
      </c>
      <c r="CK226" s="17">
        <f t="shared" si="230"/>
        <v>-1.6866666666666661</v>
      </c>
      <c r="CL226" s="17">
        <f t="shared" si="231"/>
        <v>-0.25333333333333297</v>
      </c>
      <c r="CM226" s="38">
        <f t="shared" si="246"/>
        <v>2.5833333333333335</v>
      </c>
      <c r="CN226" s="17">
        <f t="shared" si="232"/>
        <v>4.0166666666666675</v>
      </c>
      <c r="CO226" s="17">
        <f t="shared" si="233"/>
        <v>6.8533333333333335</v>
      </c>
      <c r="CP226" s="17">
        <f t="shared" si="234"/>
        <v>8.2866666666666671</v>
      </c>
      <c r="CQ226" s="2" cm="1">
        <f t="array" aca="1" ref="CQ226" ca="1">MAX(_xlfn._xlws.FILTER(CJ226:CP226,CJ226:CP226&lt;BL226))</f>
        <v>-0.25333333333333297</v>
      </c>
      <c r="CR226" s="2" cm="1">
        <f t="array" aca="1" ref="CR226" ca="1">MIN(_xlfn._xlws.FILTER($CJ226:$CP226,$CJ226:$CP226&gt;BL226))</f>
        <v>2.5833333333333335</v>
      </c>
      <c r="CS226" s="16">
        <f t="shared" ca="1" si="248"/>
        <v>-11.197368421052646</v>
      </c>
      <c r="CT226" s="20">
        <f t="shared" ca="1" si="249"/>
        <v>5.598684210526323</v>
      </c>
      <c r="CU226" s="20">
        <f t="shared" ca="1" si="250"/>
        <v>3.732456140350882</v>
      </c>
      <c r="CV226" s="20">
        <f t="shared" ca="1" si="251"/>
        <v>2.2394736842105294</v>
      </c>
      <c r="CW226" s="20">
        <f t="shared" ca="1" si="252"/>
        <v>1.2441520467836273</v>
      </c>
      <c r="CX226" s="20">
        <f t="shared" ca="1" si="253"/>
        <v>0.65866873065015563</v>
      </c>
      <c r="CY226" s="20">
        <f t="shared" ca="1" si="254"/>
        <v>0.3393141945773529</v>
      </c>
      <c r="CZ226" s="20">
        <f t="shared" ca="1" si="255"/>
        <v>0.17226720647773303</v>
      </c>
      <c r="DA226" s="21">
        <f t="shared" ca="1" si="256"/>
        <v>-0.17226720647773303</v>
      </c>
      <c r="DB226" s="21">
        <f t="shared" ca="1" si="257"/>
        <v>-0.3393141945773529</v>
      </c>
      <c r="DC226" s="21">
        <f t="shared" ca="1" si="258"/>
        <v>-0.65866873065015563</v>
      </c>
      <c r="DD226" s="21">
        <f t="shared" ca="1" si="259"/>
        <v>-1.2441520467836273</v>
      </c>
      <c r="DE226" s="21">
        <f t="shared" ca="1" si="260"/>
        <v>-2.2394736842105294</v>
      </c>
      <c r="DF226" s="21">
        <f t="shared" ca="1" si="261"/>
        <v>-3.732456140350882</v>
      </c>
      <c r="DG226" s="21">
        <f t="shared" ca="1" si="262"/>
        <v>-5.598684210526323</v>
      </c>
      <c r="DI226" s="16" cm="1">
        <f t="array" aca="1" ref="DI226" ca="1">MAX(_xlfn._xlws.FILTER(CT226:DG226,CT226:DG226&lt;BR226))</f>
        <v>-0.17226720647773303</v>
      </c>
      <c r="DJ226" s="16" cm="1">
        <f t="array" aca="1" ref="DJ226" ca="1">MIN(_xlfn._xlws.FILTER(CT226:DG226,CT226:DG226&gt;BR226))</f>
        <v>0.17226720647773303</v>
      </c>
      <c r="DK226" s="2" cm="1">
        <f t="array" aca="1" ref="DK226" ca="1">_FV(EC226,"Fechamento anterior",TRUE)</f>
        <v>1.18</v>
      </c>
      <c r="DL226" s="28">
        <f t="shared" ca="1" si="235"/>
        <v>0.52459718377183373</v>
      </c>
      <c r="DM226" s="15">
        <f t="shared" ca="1" si="263"/>
        <v>0.97672469635627501</v>
      </c>
      <c r="DN226" s="15">
        <f t="shared" ca="1" si="264"/>
        <v>1.3832753036437249</v>
      </c>
      <c r="DO226" s="9"/>
      <c r="DP226" s="9"/>
      <c r="DQ226" s="9"/>
      <c r="DR226" s="89">
        <v>0.32045028142589155</v>
      </c>
      <c r="DS226" s="89">
        <v>0.36282051282051381</v>
      </c>
      <c r="DT226" s="89">
        <v>0.34453441295546605</v>
      </c>
      <c r="DU226" s="89">
        <v>0.34453441295546605</v>
      </c>
      <c r="DV226" s="89">
        <f t="shared" ca="1" si="236"/>
        <v>0.34453441295546605</v>
      </c>
      <c r="DW226" s="72">
        <f t="shared" ca="1" si="237"/>
        <v>-0.13669835652986748</v>
      </c>
      <c r="DX226" s="37"/>
      <c r="DY226" s="35">
        <f t="shared" si="247"/>
        <v>2.5603819159562051E-2</v>
      </c>
      <c r="DZ226" s="56"/>
      <c r="EA226" s="56"/>
      <c r="EC226" s="2" t="e" vm="228">
        <v>#VALUE!</v>
      </c>
      <c r="EE226" s="10" cm="1">
        <f t="array" aca="1" ref="EE226" ca="1">_FV(EC226,"Ações em circulação",TRUE)</f>
        <v>322820600</v>
      </c>
      <c r="EF226" s="18">
        <f>VLOOKUP(BM226,Fundamentus!A:U,5,FALSE)</f>
        <v>3.4000000000000002E-2</v>
      </c>
      <c r="EG226" s="2">
        <f t="shared" ca="1" si="238"/>
        <v>11298721000</v>
      </c>
      <c r="EH226" s="17">
        <v>-1463184369.5</v>
      </c>
      <c r="EI226" s="17">
        <f t="shared" ca="1" si="239"/>
        <v>-1463184369.5</v>
      </c>
      <c r="EK226" s="16">
        <f t="shared" ca="1" si="226"/>
        <v>0</v>
      </c>
      <c r="EL226" s="32" t="str">
        <f>IF(VLOOKUP(BM226,Fundamentus!A:U,3,FALSE)&lt;15,"Bom",IF(VLOOKUP(BM226,Fundamentus!A:U,3,FALSE)&gt;15,"Ruim","n/a"))</f>
        <v>Bom</v>
      </c>
      <c r="EM226" s="28" t="str">
        <f>IF(VLOOKUP(BM226,Fundamentus!A:U,4,FALSE)&lt;1,"Baixo",IF(VLOOKUP(BM226,Fundamentus!A:U,4,FALSE)&lt;1.5,"Moderado",IF(VLOOKUP(BM226,Fundamentus!A:U,4,FALSE)&gt;1.5,"Alto","n/a")))</f>
        <v>Baixo</v>
      </c>
      <c r="EN226" s="17" t="str">
        <f>IF(VLOOKUP(BM226,Fundamentus!A:U,8,FALSE)&lt;0,"Risco elevado",IF(VLOOKUP(BM226,Fundamentus!A:U,8,FALSE)&lt;1,"Saudável",IF(VLOOKUP(BM226,Fundamentus!A:U,8,FALSE)&lt;3,"Estável",IF(VLOOKUP(BM226,Fundamentus!A:U,8,FALSE)&gt;3,"Alerta","n/a"))))</f>
        <v>Saudável</v>
      </c>
      <c r="EO226" s="28" t="str">
        <f t="shared" si="240"/>
        <v>Ruim</v>
      </c>
      <c r="EP226" s="17" t="str">
        <f>IF(VLOOKUP(BM226,Fundamentus!A:U,12,FALSE)&lt;2,"Subvalorizada",IF(VLOOKUP(BM226,Fundamentus!A:U,12,FALSE)&lt;6,"Muita barata",IF(VLOOKUP(BM226,Fundamentus!A:U,12,FALSE)&lt;6,"Barata",IF(VLOOKUP(BM226,Fundamentus!A:U,12,FALSE)&lt;8,"Atrativa",IF(VLOOKUP(BM226,Fundamentus!A:U,12,FALSE)&gt;8,"Supervalorizada","n/a")))))</f>
        <v>Supervalorizada</v>
      </c>
      <c r="ER226" s="17" t="str">
        <f>IF(VLOOKUP(BM226,Fundamentus!A:U,17,FALSE)&lt;0.1,"Fraco retorno",IF(VLOOKUP(BM226,Fundamentus!A:U,17,FALSE)&gt;0.1,"Bom retorno","n/a"))</f>
        <v>Fraco retorno</v>
      </c>
      <c r="ES226" s="17" t="str">
        <f>IF(VLOOKUP(BM226,Fundamentus!A:U,16,FALSE)&lt;0.1,"Ineficiente",IF(VLOOKUP(BM226,Fundamentus!A:U,16,FALSE)&gt;0.1,"Eficiente","n/a"))</f>
        <v>Ineficiente</v>
      </c>
      <c r="ET226" s="33" t="str">
        <f>IF(VLOOKUP(BM226,Fundamentus!A:U,16,FALSE)&lt;0.1,"Oper. Ineficiente",IF(VLOOKUP(BM226,Fundamentus!A:U,16,FALSE)&gt;0.1,"Oper.Eficiente","n/a"))</f>
        <v>Oper. Ineficiente</v>
      </c>
      <c r="EU226" s="34">
        <f>VLOOKUP(BM226,Fundamentus!A:U,14,FALSE)</f>
        <v>-0.1295</v>
      </c>
      <c r="EV226" s="17" t="str">
        <f>IF(VLOOKUP(BM226,Fundamentus!A:U,21,FALSE)&lt;0,"Negativo",IF(VLOOKUP(BM226,Fundamentus!A:U,21,FALSE)&lt;0.05,"Fraco",IF(VLOOKUP(BM226,Fundamentus!A:U,21,FALSE)&lt;0.1,"Bom",IF(VLOOKUP(BM226,Fundamentus!A:U,21,FALSE)&gt;0.1,"Muito bom","n/a"))))</f>
        <v>Muito bom</v>
      </c>
      <c r="EX226" s="29" t="str">
        <f>IF(VLOOKUP(BM226,Fundamentus!A:U,15,FALSE)&gt;1,"Bom",IF(VLOOKUP(BM226,Fundamentus!A:U,15,FALSE)&lt;1,"Ruim","n/a"))</f>
        <v>Bom</v>
      </c>
      <c r="EY226" s="17" t="str">
        <f>IF(VLOOKUP(BM226,Fundamentus!A:U,20,FALSE)&lt;0.5,"Baixa",IF(VLOOKUP(BM226,Fundamentus!A:U,20,FALSE)&lt;1,"Moderada",IF(VLOOKUP(BM226,Fundamentus!A:U,20,FALSE)&lt;2,"Alerta",IF(VLOOKUP(BM226,Fundamentus!A:U,20,FALSE)&gt;2,"Alta","n/a"))))</f>
        <v>Alta</v>
      </c>
    </row>
    <row r="227" spans="1:155" s="2" customFormat="1" ht="11.25" x14ac:dyDescent="0.2">
      <c r="A227" s="4">
        <v>5.39</v>
      </c>
      <c r="B227" s="4">
        <v>5.18</v>
      </c>
      <c r="C227" s="4">
        <v>5.03</v>
      </c>
      <c r="D227" s="4">
        <v>4.78</v>
      </c>
      <c r="E227" s="4">
        <v>4.5</v>
      </c>
      <c r="F227" s="4">
        <v>4.4000000000000004</v>
      </c>
      <c r="G227" s="4">
        <v>4.7699999999999996</v>
      </c>
      <c r="H227" s="4">
        <v>5.16</v>
      </c>
      <c r="I227" s="4">
        <v>5.09</v>
      </c>
      <c r="J227" s="4">
        <v>5.58</v>
      </c>
      <c r="K227" s="4">
        <v>6</v>
      </c>
      <c r="L227" s="4">
        <v>5.6</v>
      </c>
      <c r="M227" s="4">
        <v>5.56</v>
      </c>
      <c r="N227" s="4">
        <v>5.35</v>
      </c>
      <c r="O227" s="4">
        <v>5.4</v>
      </c>
      <c r="P227" s="4">
        <v>5.16</v>
      </c>
      <c r="Q227" s="4">
        <v>5.29</v>
      </c>
      <c r="R227" s="4">
        <v>5.37</v>
      </c>
      <c r="S227" s="4">
        <v>5.08</v>
      </c>
      <c r="T227" s="4">
        <v>5.09</v>
      </c>
      <c r="U227" s="4">
        <v>4.6500000000000004</v>
      </c>
      <c r="V227" s="4">
        <v>4.84</v>
      </c>
      <c r="W227" s="4">
        <v>4.6100000000000003</v>
      </c>
      <c r="X227" s="4">
        <v>4.51</v>
      </c>
      <c r="Y227" s="4">
        <v>4.32</v>
      </c>
      <c r="Z227" s="4">
        <v>4.5999999999999996</v>
      </c>
      <c r="AA227" s="4">
        <v>4.38</v>
      </c>
      <c r="AB227" s="4">
        <v>4.41</v>
      </c>
      <c r="AC227" s="4">
        <v>4.26</v>
      </c>
      <c r="AD227" s="4">
        <v>4.25</v>
      </c>
      <c r="AE227" s="4">
        <v>4.07</v>
      </c>
      <c r="AF227" s="4">
        <v>3.81</v>
      </c>
      <c r="AG227" s="4">
        <v>3.45</v>
      </c>
      <c r="AH227" s="4">
        <v>2.94</v>
      </c>
      <c r="AI227" s="4">
        <v>3</v>
      </c>
      <c r="AJ227" s="4">
        <v>2.97</v>
      </c>
      <c r="AK227" s="4">
        <v>2.88</v>
      </c>
      <c r="AL227" s="4">
        <v>3</v>
      </c>
      <c r="AM227" s="4">
        <v>3.02</v>
      </c>
      <c r="AN227" s="4">
        <v>3.22</v>
      </c>
      <c r="AO227" s="4">
        <v>2.96</v>
      </c>
      <c r="AP227" s="4">
        <v>3.09</v>
      </c>
      <c r="AQ227" s="4">
        <v>2.96</v>
      </c>
      <c r="AR227" s="4">
        <v>2.74</v>
      </c>
      <c r="AS227" s="4">
        <v>2.69</v>
      </c>
      <c r="AT227" s="4">
        <v>3</v>
      </c>
      <c r="AU227" s="4">
        <v>3.2149999999999999</v>
      </c>
      <c r="AV227" s="4">
        <v>3.47</v>
      </c>
      <c r="AW227" s="4">
        <v>3.42</v>
      </c>
      <c r="AX227" s="4">
        <v>3.67</v>
      </c>
      <c r="AY227" s="12">
        <v>3.61</v>
      </c>
      <c r="AZ227" s="12">
        <v>3.75</v>
      </c>
      <c r="BA227" s="12">
        <v>3.68</v>
      </c>
      <c r="BB227" s="15">
        <v>3.77</v>
      </c>
      <c r="BC227" s="52">
        <v>3.83</v>
      </c>
      <c r="BD227" s="52">
        <v>3.43</v>
      </c>
      <c r="BE227" s="52">
        <v>3.49</v>
      </c>
      <c r="BF227" s="52">
        <v>3.52</v>
      </c>
      <c r="BG227" s="67">
        <v>3.53</v>
      </c>
      <c r="BH227" s="52">
        <v>3.42</v>
      </c>
      <c r="BI227" s="52">
        <v>3.41</v>
      </c>
      <c r="BJ227" s="52">
        <v>3.38</v>
      </c>
      <c r="BK227" s="52">
        <v>3.06</v>
      </c>
      <c r="BL227" s="52" cm="1">
        <f t="array" aca="1" ref="BL227" ca="1">_FV(EC227,"Preço")</f>
        <v>3.06</v>
      </c>
      <c r="BM227" s="69" t="s">
        <v>223</v>
      </c>
      <c r="BN227" s="36" cm="1">
        <f t="array" aca="1" ref="BN227" ca="1">_FV(EC227,"Média de volume",TRUE)</f>
        <v>449200</v>
      </c>
      <c r="BO227" s="36">
        <v>510600</v>
      </c>
      <c r="BP227" s="36" cm="1">
        <f t="array" aca="1" ref="BP227" ca="1">_FV(EC227,"Volume")</f>
        <v>510600</v>
      </c>
      <c r="BQ227" s="24" cm="1">
        <f t="array" aca="1" ref="BQ227" ca="1">_FV(EC227,"Beta")</f>
        <v>1.4561999999999999</v>
      </c>
      <c r="BR227" s="71" cm="1">
        <f t="array" aca="1" ref="BR227" ca="1">_FV(EC227,"Variação (%)",TRUE)</f>
        <v>3.2790000000000002E-3</v>
      </c>
      <c r="BT227" s="17" cm="1">
        <f t="array" aca="1" ref="BT227" ca="1">_FV(EC227,"Baixo")</f>
        <v>2.96</v>
      </c>
      <c r="BU227" s="17" cm="1">
        <f t="array" aca="1" ref="BU227" ca="1">_FV(EC227,"Alto")</f>
        <v>3.12</v>
      </c>
      <c r="BV227" s="24"/>
      <c r="BW227" s="63">
        <f ca="1">SQRT(22.5*(BL227/VLOOKUP(BM227,Fundamentus!A:U,3,FALSE))*(BL227/VLOOKUP(BM227,Fundamentus!A:U,4,FALSE)))</f>
        <v>10.675573407338012</v>
      </c>
      <c r="BY227" s="62">
        <f t="shared" ca="1" si="241"/>
        <v>0</v>
      </c>
      <c r="BZ227" s="8"/>
      <c r="CA227" s="61">
        <f t="shared" si="242"/>
        <v>2.69</v>
      </c>
      <c r="CB227" s="61">
        <f t="shared" si="243"/>
        <v>6</v>
      </c>
      <c r="CC227" s="61">
        <f t="shared" si="244"/>
        <v>4.0962698412698408</v>
      </c>
      <c r="CD227" s="14"/>
      <c r="CE227" s="35">
        <f t="shared" si="227"/>
        <v>2.9492345571802132</v>
      </c>
      <c r="CF227" s="15">
        <f t="shared" si="245"/>
        <v>3.2619999999999436</v>
      </c>
      <c r="CG227" s="35">
        <f t="shared" si="228"/>
        <v>3.574765442819674</v>
      </c>
      <c r="CI227" s="14"/>
      <c r="CJ227" s="17">
        <f t="shared" si="229"/>
        <v>-1.2633333333333332</v>
      </c>
      <c r="CK227" s="17">
        <f t="shared" si="230"/>
        <v>0.71333333333333337</v>
      </c>
      <c r="CL227" s="17">
        <f t="shared" si="231"/>
        <v>2.0466666666666669</v>
      </c>
      <c r="CM227" s="38">
        <f t="shared" si="246"/>
        <v>4.0233333333333334</v>
      </c>
      <c r="CN227" s="17">
        <f t="shared" si="232"/>
        <v>5.3566666666666674</v>
      </c>
      <c r="CO227" s="17">
        <f t="shared" si="233"/>
        <v>7.3333333333333339</v>
      </c>
      <c r="CP227" s="17">
        <f t="shared" si="234"/>
        <v>8.6666666666666679</v>
      </c>
      <c r="CQ227" s="2" cm="1">
        <f t="array" aca="1" ref="CQ227" ca="1">MAX(_xlfn._xlws.FILTER(CJ227:CP227,CJ227:CP227&lt;BL227))</f>
        <v>2.0466666666666669</v>
      </c>
      <c r="CR227" s="2" cm="1">
        <f t="array" aca="1" ref="CR227" ca="1">MIN(_xlfn._xlws.FILTER($CJ227:$CP227,$CJ227:$CP227&gt;BL227))</f>
        <v>4.0233333333333334</v>
      </c>
      <c r="CS227" s="16">
        <f t="shared" ca="1" si="248"/>
        <v>0.96579804560260563</v>
      </c>
      <c r="CT227" s="20">
        <f t="shared" ca="1" si="249"/>
        <v>-0.48289902280130281</v>
      </c>
      <c r="CU227" s="20">
        <f t="shared" ca="1" si="250"/>
        <v>-0.32193268186753521</v>
      </c>
      <c r="CV227" s="20">
        <f t="shared" ca="1" si="251"/>
        <v>-0.19315960912052113</v>
      </c>
      <c r="CW227" s="20">
        <f t="shared" ca="1" si="252"/>
        <v>-0.10731089395584507</v>
      </c>
      <c r="CX227" s="20">
        <f t="shared" ca="1" si="253"/>
        <v>-5.6811649741329739E-2</v>
      </c>
      <c r="CY227" s="20">
        <f t="shared" ca="1" si="254"/>
        <v>-2.9266607442503201E-2</v>
      </c>
      <c r="CZ227" s="20">
        <f t="shared" ca="1" si="255"/>
        <v>-1.4858431470809317E-2</v>
      </c>
      <c r="DA227" s="21">
        <f t="shared" ca="1" si="256"/>
        <v>1.4858431470809317E-2</v>
      </c>
      <c r="DB227" s="21">
        <f t="shared" ca="1" si="257"/>
        <v>2.9266607442503201E-2</v>
      </c>
      <c r="DC227" s="21">
        <f t="shared" ca="1" si="258"/>
        <v>5.6811649741329739E-2</v>
      </c>
      <c r="DD227" s="21">
        <f t="shared" ca="1" si="259"/>
        <v>0.10731089395584507</v>
      </c>
      <c r="DE227" s="21">
        <f t="shared" ca="1" si="260"/>
        <v>0.19315960912052113</v>
      </c>
      <c r="DF227" s="21">
        <f t="shared" ca="1" si="261"/>
        <v>0.32193268186753521</v>
      </c>
      <c r="DG227" s="21">
        <f t="shared" ca="1" si="262"/>
        <v>0.48289902280130281</v>
      </c>
      <c r="DI227" s="16" cm="1">
        <f t="array" aca="1" ref="DI227" ca="1">MAX(_xlfn._xlws.FILTER(CT227:DG227,CT227:DG227&lt;BR227))</f>
        <v>-1.4858431470809317E-2</v>
      </c>
      <c r="DJ227" s="16" cm="1">
        <f t="array" aca="1" ref="DJ227" ca="1">MIN(_xlfn._xlws.FILTER(CT227:DG227,CT227:DG227&gt;BR227))</f>
        <v>1.4858431470809317E-2</v>
      </c>
      <c r="DK227" s="2" cm="1">
        <f t="array" aca="1" ref="DK227" ca="1">_FV(EC227,"Fechamento anterior",TRUE)</f>
        <v>3.05</v>
      </c>
      <c r="DL227" s="28">
        <f t="shared" ca="1" si="235"/>
        <v>0.61033090979460025</v>
      </c>
      <c r="DM227" s="15">
        <f t="shared" ca="1" si="263"/>
        <v>3.0046817840140312</v>
      </c>
      <c r="DN227" s="15">
        <f t="shared" ca="1" si="264"/>
        <v>3.0953182159859685</v>
      </c>
      <c r="DO227" s="9"/>
      <c r="DP227" s="9"/>
      <c r="DQ227" s="9"/>
      <c r="DR227" s="89">
        <v>2.0173948844629742E-2</v>
      </c>
      <c r="DS227" s="89">
        <v>2.7615862398471098E-2</v>
      </c>
      <c r="DT227" s="89">
        <v>2.9716862941618634E-2</v>
      </c>
      <c r="DU227" s="89">
        <v>2.9716862941618634E-2</v>
      </c>
      <c r="DV227" s="89">
        <f t="shared" ca="1" si="236"/>
        <v>2.9716862941618634E-2</v>
      </c>
      <c r="DW227" s="72">
        <f t="shared" ca="1" si="237"/>
        <v>-0.64585140282384368</v>
      </c>
      <c r="DX227" s="37"/>
      <c r="DY227" s="35">
        <f t="shared" si="247"/>
        <v>0.15638272140986528</v>
      </c>
      <c r="DZ227" s="56"/>
      <c r="EA227" s="56"/>
      <c r="EC227" s="2" t="e" vm="229">
        <v>#VALUE!</v>
      </c>
      <c r="EE227" s="10" cm="1">
        <f t="array" aca="1" ref="EE227" ca="1">_FV(EC227,"Ações em circulação",TRUE)</f>
        <v>103189000</v>
      </c>
      <c r="EF227" s="18">
        <f>VLOOKUP(BM227,Fundamentus!A:U,5,FALSE)</f>
        <v>2.1309999999999998</v>
      </c>
      <c r="EG227" s="2">
        <f t="shared" ca="1" si="238"/>
        <v>148173786.95448148</v>
      </c>
      <c r="EH227" s="17">
        <v>105129301.84420462</v>
      </c>
      <c r="EI227" s="17">
        <f t="shared" ca="1" si="239"/>
        <v>105129301.84420462</v>
      </c>
      <c r="EK227" s="16">
        <f t="shared" ca="1" si="226"/>
        <v>0</v>
      </c>
      <c r="EL227" s="32" t="str">
        <f>IF(VLOOKUP(BM227,Fundamentus!A:U,3,FALSE)&lt;15,"Bom",IF(VLOOKUP(BM227,Fundamentus!A:U,3,FALSE)&gt;15,"Ruim","n/a"))</f>
        <v>Bom</v>
      </c>
      <c r="EM227" s="28" t="str">
        <f>IF(VLOOKUP(BM227,Fundamentus!A:U,4,FALSE)&lt;1,"Baixo",IF(VLOOKUP(BM227,Fundamentus!A:U,4,FALSE)&lt;1.5,"Moderado",IF(VLOOKUP(BM227,Fundamentus!A:U,4,FALSE)&gt;1.5,"Alto","n/a")))</f>
        <v>Baixo</v>
      </c>
      <c r="EN227" s="17" t="str">
        <f>IF(VLOOKUP(BM227,Fundamentus!A:U,8,FALSE)&lt;0,"Risco elevado",IF(VLOOKUP(BM227,Fundamentus!A:U,8,FALSE)&lt;1,"Saudável",IF(VLOOKUP(BM227,Fundamentus!A:U,8,FALSE)&lt;3,"Estável",IF(VLOOKUP(BM227,Fundamentus!A:U,8,FALSE)&gt;3,"Alerta","n/a"))))</f>
        <v>Estável</v>
      </c>
      <c r="EO227" s="28" t="str">
        <f t="shared" si="240"/>
        <v>Bom</v>
      </c>
      <c r="EP227" s="17" t="str">
        <f>IF(VLOOKUP(BM227,Fundamentus!A:U,12,FALSE)&lt;2,"Subvalorizada",IF(VLOOKUP(BM227,Fundamentus!A:U,12,FALSE)&lt;6,"Muita barata",IF(VLOOKUP(BM227,Fundamentus!A:U,12,FALSE)&lt;6,"Barata",IF(VLOOKUP(BM227,Fundamentus!A:U,12,FALSE)&lt;8,"Atrativa",IF(VLOOKUP(BM227,Fundamentus!A:U,12,FALSE)&gt;8,"Supervalorizada","n/a")))))</f>
        <v>Atrativa</v>
      </c>
      <c r="ER227" s="17" t="str">
        <f>IF(VLOOKUP(BM227,Fundamentus!A:U,17,FALSE)&lt;0.1,"Fraco retorno",IF(VLOOKUP(BM227,Fundamentus!A:U,17,FALSE)&gt;0.1,"Bom retorno","n/a"))</f>
        <v>Fraco retorno</v>
      </c>
      <c r="ES227" s="17" t="str">
        <f>IF(VLOOKUP(BM227,Fundamentus!A:U,16,FALSE)&lt;0.1,"Ineficiente",IF(VLOOKUP(BM227,Fundamentus!A:U,16,FALSE)&gt;0.1,"Eficiente","n/a"))</f>
        <v>Ineficiente</v>
      </c>
      <c r="ET227" s="33" t="str">
        <f>IF(VLOOKUP(BM227,Fundamentus!A:U,16,FALSE)&lt;0.1,"Oper. Ineficiente",IF(VLOOKUP(BM227,Fundamentus!A:U,16,FALSE)&gt;0.1,"Oper.Eficiente","n/a"))</f>
        <v>Oper. Ineficiente</v>
      </c>
      <c r="EU227" s="34">
        <f>VLOOKUP(BM227,Fundamentus!A:U,14,FALSE)</f>
        <v>0.70950000000000002</v>
      </c>
      <c r="EV227" s="17" t="str">
        <f>IF(VLOOKUP(BM227,Fundamentus!A:U,21,FALSE)&lt;0,"Negativo",IF(VLOOKUP(BM227,Fundamentus!A:U,21,FALSE)&lt;0.05,"Fraco",IF(VLOOKUP(BM227,Fundamentus!A:U,21,FALSE)&lt;0.1,"Bom",IF(VLOOKUP(BM227,Fundamentus!A:U,21,FALSE)&gt;0.1,"Muito bom","n/a"))))</f>
        <v>Muito bom</v>
      </c>
      <c r="EX227" s="29" t="str">
        <f>IF(VLOOKUP(BM227,Fundamentus!A:U,15,FALSE)&gt;1,"Bom",IF(VLOOKUP(BM227,Fundamentus!A:U,15,FALSE)&lt;1,"Ruim","n/a"))</f>
        <v>Bom</v>
      </c>
      <c r="EY227" s="17" t="str">
        <f>IF(VLOOKUP(BM227,Fundamentus!A:U,20,FALSE)&lt;0.5,"Baixa",IF(VLOOKUP(BM227,Fundamentus!A:U,20,FALSE)&lt;1,"Moderada",IF(VLOOKUP(BM227,Fundamentus!A:U,20,FALSE)&lt;2,"Alerta",IF(VLOOKUP(BM227,Fundamentus!A:U,20,FALSE)&gt;2,"Alta","n/a"))))</f>
        <v>Moderada</v>
      </c>
    </row>
    <row r="228" spans="1:155" s="2" customFormat="1" ht="11.25" x14ac:dyDescent="0.2">
      <c r="A228" s="4">
        <v>3.62</v>
      </c>
      <c r="B228" s="4">
        <v>3.57</v>
      </c>
      <c r="C228" s="4">
        <v>3.48</v>
      </c>
      <c r="D228" s="4">
        <v>3.41</v>
      </c>
      <c r="E228" s="4">
        <v>3.24</v>
      </c>
      <c r="F228" s="4">
        <v>3.35</v>
      </c>
      <c r="G228" s="4">
        <v>3.25</v>
      </c>
      <c r="H228" s="4">
        <v>3.08</v>
      </c>
      <c r="I228" s="4">
        <v>3.06</v>
      </c>
      <c r="J228" s="4">
        <v>3.08</v>
      </c>
      <c r="K228" s="4">
        <v>3.12</v>
      </c>
      <c r="L228" s="4">
        <v>3.14</v>
      </c>
      <c r="M228" s="4">
        <v>3.1</v>
      </c>
      <c r="N228" s="4">
        <v>3.23</v>
      </c>
      <c r="O228" s="4">
        <v>3.04</v>
      </c>
      <c r="P228" s="4">
        <v>3.14</v>
      </c>
      <c r="Q228" s="4">
        <v>3.27</v>
      </c>
      <c r="R228" s="4">
        <v>3.3</v>
      </c>
      <c r="S228" s="4">
        <v>3.26</v>
      </c>
      <c r="T228" s="4">
        <v>3.12</v>
      </c>
      <c r="U228" s="4">
        <v>3.18</v>
      </c>
      <c r="V228" s="4">
        <v>3.11</v>
      </c>
      <c r="W228" s="4">
        <v>3.1</v>
      </c>
      <c r="X228" s="4">
        <v>3.18</v>
      </c>
      <c r="Y228" s="4">
        <v>3.08</v>
      </c>
      <c r="Z228" s="4">
        <v>3.08</v>
      </c>
      <c r="AA228" s="4">
        <v>3.02</v>
      </c>
      <c r="AB228" s="4">
        <v>2.8</v>
      </c>
      <c r="AC228" s="4">
        <v>2.78</v>
      </c>
      <c r="AD228" s="4">
        <v>2.79</v>
      </c>
      <c r="AE228" s="4">
        <v>2.56</v>
      </c>
      <c r="AF228" s="4">
        <v>2.44</v>
      </c>
      <c r="AG228" s="4">
        <v>2.31</v>
      </c>
      <c r="AH228" s="4">
        <v>2.15</v>
      </c>
      <c r="AI228" s="4">
        <v>2.1</v>
      </c>
      <c r="AJ228" s="4">
        <v>2.12</v>
      </c>
      <c r="AK228" s="4">
        <v>2.27</v>
      </c>
      <c r="AL228" s="4">
        <v>2.33</v>
      </c>
      <c r="AM228" s="4">
        <v>2.29</v>
      </c>
      <c r="AN228" s="4">
        <v>2.25</v>
      </c>
      <c r="AO228" s="4">
        <v>2.56</v>
      </c>
      <c r="AP228" s="4">
        <v>2.46</v>
      </c>
      <c r="AQ228" s="4">
        <v>2.64</v>
      </c>
      <c r="AR228" s="4">
        <v>2.4900000000000002</v>
      </c>
      <c r="AS228" s="4">
        <v>2.63</v>
      </c>
      <c r="AT228" s="4">
        <v>2.7</v>
      </c>
      <c r="AU228" s="4">
        <v>2.56</v>
      </c>
      <c r="AV228" s="4">
        <v>2.67</v>
      </c>
      <c r="AW228" s="4">
        <v>2.48</v>
      </c>
      <c r="AX228" s="4">
        <v>2.61</v>
      </c>
      <c r="AY228" s="12">
        <v>2.58</v>
      </c>
      <c r="AZ228" s="12">
        <v>2.68</v>
      </c>
      <c r="BA228" s="12">
        <v>3</v>
      </c>
      <c r="BB228" s="15">
        <v>2.94</v>
      </c>
      <c r="BC228" s="52">
        <v>2.83</v>
      </c>
      <c r="BD228" s="52">
        <v>2.59</v>
      </c>
      <c r="BE228" s="52">
        <v>2.69</v>
      </c>
      <c r="BF228" s="52">
        <v>2.71</v>
      </c>
      <c r="BG228" s="67">
        <v>2.52</v>
      </c>
      <c r="BH228" s="52">
        <v>2.48</v>
      </c>
      <c r="BI228" s="52">
        <v>2.4700000000000002</v>
      </c>
      <c r="BJ228" s="52">
        <v>2.39</v>
      </c>
      <c r="BK228" s="52">
        <v>2.3199999999999998</v>
      </c>
      <c r="BL228" s="52" cm="1">
        <f t="array" aca="1" ref="BL228" ca="1">_FV(EC228,"Preço")</f>
        <v>2.3199999999999998</v>
      </c>
      <c r="BM228" s="69" t="s">
        <v>224</v>
      </c>
      <c r="BN228" s="36" cm="1">
        <f t="array" aca="1" ref="BN228" ca="1">_FV(EC228,"Média de volume",TRUE)</f>
        <v>3480</v>
      </c>
      <c r="BO228" s="36">
        <v>3800</v>
      </c>
      <c r="BP228" s="36" cm="1">
        <f t="array" aca="1" ref="BP228" ca="1">_FV(EC228,"Volume")</f>
        <v>3800</v>
      </c>
      <c r="BQ228" s="24" cm="1">
        <f t="array" aca="1" ref="BQ228" ca="1">_FV(EC228,"Beta")</f>
        <v>0.6663</v>
      </c>
      <c r="BR228" s="71" cm="1">
        <f t="array" aca="1" ref="BR228" ca="1">_FV(EC228,"Variação (%)",TRUE)</f>
        <v>-4.2920000000000007E-3</v>
      </c>
      <c r="BT228" s="17" cm="1">
        <f t="array" aca="1" ref="BT228" ca="1">_FV(EC228,"Baixo")</f>
        <v>2.3199999999999998</v>
      </c>
      <c r="BU228" s="17" cm="1">
        <f t="array" aca="1" ref="BU228" ca="1">_FV(EC228,"Alto")</f>
        <v>2.34</v>
      </c>
      <c r="BV228" s="24"/>
      <c r="BW228" s="63" t="e">
        <f ca="1">SQRT(22.5*(BL228/VLOOKUP(BM228,Fundamentus!A:U,3,FALSE))*(BL228/VLOOKUP(BM228,Fundamentus!A:U,4,FALSE)))</f>
        <v>#NUM!</v>
      </c>
      <c r="BY228" s="62">
        <f t="shared" ca="1" si="241"/>
        <v>0</v>
      </c>
      <c r="BZ228" s="8"/>
      <c r="CA228" s="61">
        <f t="shared" si="242"/>
        <v>2.1</v>
      </c>
      <c r="CB228" s="61">
        <f t="shared" si="243"/>
        <v>3.62</v>
      </c>
      <c r="CC228" s="61">
        <f t="shared" si="244"/>
        <v>2.8222222222222224</v>
      </c>
      <c r="CD228" s="14"/>
      <c r="CE228" s="35">
        <f t="shared" si="227"/>
        <v>2.1443983603609502</v>
      </c>
      <c r="CF228" s="15">
        <f t="shared" si="245"/>
        <v>2.3870000000000005</v>
      </c>
      <c r="CG228" s="35">
        <f t="shared" si="228"/>
        <v>2.6296016396390507</v>
      </c>
      <c r="CI228" s="14"/>
      <c r="CJ228" s="17">
        <f t="shared" si="229"/>
        <v>0.26666666666666705</v>
      </c>
      <c r="CK228" s="17">
        <f t="shared" si="230"/>
        <v>1.1833333333333336</v>
      </c>
      <c r="CL228" s="17">
        <f t="shared" si="231"/>
        <v>1.7866666666666671</v>
      </c>
      <c r="CM228" s="38">
        <f t="shared" si="246"/>
        <v>2.7033333333333336</v>
      </c>
      <c r="CN228" s="17">
        <f t="shared" si="232"/>
        <v>3.3066666666666671</v>
      </c>
      <c r="CO228" s="17">
        <f t="shared" si="233"/>
        <v>4.2233333333333336</v>
      </c>
      <c r="CP228" s="17">
        <f t="shared" si="234"/>
        <v>4.8266666666666671</v>
      </c>
      <c r="CQ228" s="2" cm="1">
        <f t="array" aca="1" ref="CQ228" ca="1">MAX(_xlfn._xlws.FILTER(CJ228:CP228,CJ228:CP228&lt;BL228))</f>
        <v>1.7866666666666671</v>
      </c>
      <c r="CR228" s="2" cm="1">
        <f t="array" aca="1" ref="CR228" ca="1">MIN(_xlfn._xlws.FILTER($CJ228:$CP228,$CJ228:$CP228&gt;BL228))</f>
        <v>2.7033333333333336</v>
      </c>
      <c r="CS228" s="16">
        <f t="shared" ca="1" si="248"/>
        <v>0.5130597014925371</v>
      </c>
      <c r="CT228" s="20">
        <f t="shared" ca="1" si="249"/>
        <v>-0.25652985074626855</v>
      </c>
      <c r="CU228" s="20">
        <f t="shared" ca="1" si="250"/>
        <v>-0.17101990049751237</v>
      </c>
      <c r="CV228" s="20">
        <f t="shared" ca="1" si="251"/>
        <v>-0.10261194029850743</v>
      </c>
      <c r="CW228" s="20">
        <f t="shared" ca="1" si="252"/>
        <v>-5.7006633499170789E-2</v>
      </c>
      <c r="CX228" s="20">
        <f t="shared" ca="1" si="253"/>
        <v>-3.0179982440737475E-2</v>
      </c>
      <c r="CY228" s="20">
        <f t="shared" ca="1" si="254"/>
        <v>-1.5547263681592033E-2</v>
      </c>
      <c r="CZ228" s="20">
        <f t="shared" ca="1" si="255"/>
        <v>-7.8932261768082639E-3</v>
      </c>
      <c r="DA228" s="21">
        <f t="shared" ca="1" si="256"/>
        <v>7.8932261768082639E-3</v>
      </c>
      <c r="DB228" s="21">
        <f t="shared" ca="1" si="257"/>
        <v>1.5547263681592033E-2</v>
      </c>
      <c r="DC228" s="21">
        <f t="shared" ca="1" si="258"/>
        <v>3.0179982440737475E-2</v>
      </c>
      <c r="DD228" s="21">
        <f t="shared" ca="1" si="259"/>
        <v>5.7006633499170789E-2</v>
      </c>
      <c r="DE228" s="21">
        <f t="shared" ca="1" si="260"/>
        <v>0.10261194029850743</v>
      </c>
      <c r="DF228" s="21">
        <f t="shared" ca="1" si="261"/>
        <v>0.17101990049751237</v>
      </c>
      <c r="DG228" s="21">
        <f t="shared" ca="1" si="262"/>
        <v>0.25652985074626855</v>
      </c>
      <c r="DI228" s="16" cm="1">
        <f t="array" aca="1" ref="DI228" ca="1">MAX(_xlfn._xlws.FILTER(CT228:DG228,CT228:DG228&lt;BR228))</f>
        <v>-7.8932261768082639E-3</v>
      </c>
      <c r="DJ228" s="16" cm="1">
        <f t="array" aca="1" ref="DJ228" ca="1">MIN(_xlfn._xlws.FILTER(CT228:DG228,CT228:DG228&gt;BR228))</f>
        <v>7.8932261768082639E-3</v>
      </c>
      <c r="DK228" s="2" cm="1">
        <f t="array" aca="1" ref="DK228" ca="1">_FV(EC228,"Fechamento anterior",TRUE)</f>
        <v>2.33</v>
      </c>
      <c r="DL228" s="28">
        <f t="shared" ca="1" si="235"/>
        <v>0.2281310963714345</v>
      </c>
      <c r="DM228" s="15">
        <f t="shared" ca="1" si="263"/>
        <v>2.3116087830080367</v>
      </c>
      <c r="DN228" s="15">
        <f t="shared" ca="1" si="264"/>
        <v>2.3483912169919634</v>
      </c>
      <c r="DO228" s="9"/>
      <c r="DP228" s="9"/>
      <c r="DQ228" s="9"/>
      <c r="DR228" s="89">
        <v>5.5436264252271472E-3</v>
      </c>
      <c r="DS228" s="89">
        <v>1.3296033392328143E-2</v>
      </c>
      <c r="DT228" s="89">
        <v>1.4632718759145442E-2</v>
      </c>
      <c r="DU228" s="89">
        <v>1.5786452353616528E-2</v>
      </c>
      <c r="DV228" s="89">
        <f t="shared" ca="1" si="236"/>
        <v>1.5786452353616528E-2</v>
      </c>
      <c r="DW228" s="72">
        <f t="shared" ca="1" si="237"/>
        <v>-0.27617290674409767</v>
      </c>
      <c r="DX228" s="37"/>
      <c r="DY228" s="35">
        <f t="shared" si="247"/>
        <v>0.12130081981952509</v>
      </c>
      <c r="DZ228" s="56"/>
      <c r="EA228" s="56"/>
      <c r="EC228" s="2" t="e" vm="230">
        <v>#VALUE!</v>
      </c>
      <c r="EE228" s="10" cm="1">
        <f t="array" aca="1" ref="EE228" ca="1">_FV(EC228,"Ações em circulação",TRUE)</f>
        <v>43769810</v>
      </c>
      <c r="EF228" s="18">
        <f>VLOOKUP(BM228,Fundamentus!A:U,5,FALSE)</f>
        <v>0.22700000000000001</v>
      </c>
      <c r="EG228" s="2">
        <f t="shared" ca="1" si="238"/>
        <v>447339027.31277525</v>
      </c>
      <c r="EH228" s="17">
        <v>-123778708.85744491</v>
      </c>
      <c r="EI228" s="17">
        <f t="shared" ca="1" si="239"/>
        <v>-123778708.85744491</v>
      </c>
      <c r="EK228" s="16">
        <f t="shared" ca="1" si="226"/>
        <v>0</v>
      </c>
      <c r="EL228" s="32" t="str">
        <f>IF(VLOOKUP(BM228,Fundamentus!A:U,3,FALSE)&lt;15,"Bom",IF(VLOOKUP(BM228,Fundamentus!A:U,3,FALSE)&gt;15,"Ruim","n/a"))</f>
        <v>Bom</v>
      </c>
      <c r="EM228" s="28" t="str">
        <f>IF(VLOOKUP(BM228,Fundamentus!A:U,4,FALSE)&lt;1,"Baixo",IF(VLOOKUP(BM228,Fundamentus!A:U,4,FALSE)&lt;1.5,"Moderado",IF(VLOOKUP(BM228,Fundamentus!A:U,4,FALSE)&gt;1.5,"Alto","n/a")))</f>
        <v>Baixo</v>
      </c>
      <c r="EN228" s="17" t="str">
        <f>IF(VLOOKUP(BM228,Fundamentus!A:U,8,FALSE)&lt;0,"Risco elevado",IF(VLOOKUP(BM228,Fundamentus!A:U,8,FALSE)&lt;1,"Saudável",IF(VLOOKUP(BM228,Fundamentus!A:U,8,FALSE)&lt;3,"Estável",IF(VLOOKUP(BM228,Fundamentus!A:U,8,FALSE)&gt;3,"Alerta","n/a"))))</f>
        <v>Saudável</v>
      </c>
      <c r="EO228" s="28" t="str">
        <f t="shared" si="240"/>
        <v>Ruim</v>
      </c>
      <c r="EP228" s="17" t="str">
        <f>IF(VLOOKUP(BM228,Fundamentus!A:U,12,FALSE)&lt;2,"Subvalorizada",IF(VLOOKUP(BM228,Fundamentus!A:U,12,FALSE)&lt;6,"Muita barata",IF(VLOOKUP(BM228,Fundamentus!A:U,12,FALSE)&lt;6,"Barata",IF(VLOOKUP(BM228,Fundamentus!A:U,12,FALSE)&lt;8,"Atrativa",IF(VLOOKUP(BM228,Fundamentus!A:U,12,FALSE)&gt;8,"Supervalorizada","n/a")))))</f>
        <v>Subvalorizada</v>
      </c>
      <c r="ER228" s="17" t="str">
        <f>IF(VLOOKUP(BM228,Fundamentus!A:U,17,FALSE)&lt;0.1,"Fraco retorno",IF(VLOOKUP(BM228,Fundamentus!A:U,17,FALSE)&gt;0.1,"Bom retorno","n/a"))</f>
        <v>Fraco retorno</v>
      </c>
      <c r="ES228" s="17" t="str">
        <f>IF(VLOOKUP(BM228,Fundamentus!A:U,16,FALSE)&lt;0.1,"Ineficiente",IF(VLOOKUP(BM228,Fundamentus!A:U,16,FALSE)&gt;0.1,"Eficiente","n/a"))</f>
        <v>Ineficiente</v>
      </c>
      <c r="ET228" s="33" t="str">
        <f>IF(VLOOKUP(BM228,Fundamentus!A:U,16,FALSE)&lt;0.1,"Oper. Ineficiente",IF(VLOOKUP(BM228,Fundamentus!A:U,16,FALSE)&gt;0.1,"Oper.Eficiente","n/a"))</f>
        <v>Oper. Ineficiente</v>
      </c>
      <c r="EU228" s="34">
        <f>VLOOKUP(BM228,Fundamentus!A:U,14,FALSE)</f>
        <v>-0.2767</v>
      </c>
      <c r="EV228" s="17" t="str">
        <f>IF(VLOOKUP(BM228,Fundamentus!A:U,21,FALSE)&lt;0,"Negativo",IF(VLOOKUP(BM228,Fundamentus!A:U,21,FALSE)&lt;0.05,"Fraco",IF(VLOOKUP(BM228,Fundamentus!A:U,21,FALSE)&lt;0.1,"Bom",IF(VLOOKUP(BM228,Fundamentus!A:U,21,FALSE)&gt;0.1,"Muito bom","n/a"))))</f>
        <v>Fraco</v>
      </c>
      <c r="EX228" s="29" t="str">
        <f>IF(VLOOKUP(BM228,Fundamentus!A:U,15,FALSE)&gt;1,"Bom",IF(VLOOKUP(BM228,Fundamentus!A:U,15,FALSE)&lt;1,"Ruim","n/a"))</f>
        <v>Bom</v>
      </c>
      <c r="EY228" s="17" t="str">
        <f>IF(VLOOKUP(BM228,Fundamentus!A:U,20,FALSE)&lt;0.5,"Baixa",IF(VLOOKUP(BM228,Fundamentus!A:U,20,FALSE)&lt;1,"Moderada",IF(VLOOKUP(BM228,Fundamentus!A:U,20,FALSE)&lt;2,"Alerta",IF(VLOOKUP(BM228,Fundamentus!A:U,20,FALSE)&gt;2,"Alta","n/a"))))</f>
        <v>Alta</v>
      </c>
    </row>
    <row r="229" spans="1:155" s="2" customFormat="1" ht="11.25" x14ac:dyDescent="0.2">
      <c r="A229" s="4">
        <v>3.39</v>
      </c>
      <c r="B229" s="4">
        <v>3.13</v>
      </c>
      <c r="C229" s="4">
        <v>3.11</v>
      </c>
      <c r="D229" s="4">
        <v>3.01</v>
      </c>
      <c r="E229" s="4">
        <v>2.87</v>
      </c>
      <c r="F229" s="4">
        <v>2.88</v>
      </c>
      <c r="G229" s="4">
        <v>3.03</v>
      </c>
      <c r="H229" s="4">
        <v>2.92</v>
      </c>
      <c r="I229" s="4">
        <v>2.69</v>
      </c>
      <c r="J229" s="4">
        <v>3.15</v>
      </c>
      <c r="K229" s="4">
        <v>3.36</v>
      </c>
      <c r="L229" s="4">
        <v>2.91</v>
      </c>
      <c r="M229" s="4">
        <v>2.86</v>
      </c>
      <c r="N229" s="4">
        <v>2.67</v>
      </c>
      <c r="O229" s="4">
        <v>3.13</v>
      </c>
      <c r="P229" s="4">
        <v>3.19</v>
      </c>
      <c r="Q229" s="4">
        <v>3.21</v>
      </c>
      <c r="R229" s="4">
        <v>3.13</v>
      </c>
      <c r="S229" s="4">
        <v>3.05</v>
      </c>
      <c r="T229" s="4">
        <v>3.04</v>
      </c>
      <c r="U229" s="4">
        <v>2.88</v>
      </c>
      <c r="V229" s="4">
        <v>2.85</v>
      </c>
      <c r="W229" s="4">
        <v>2.83</v>
      </c>
      <c r="X229" s="4">
        <v>3.27</v>
      </c>
      <c r="Y229" s="4">
        <v>3.15</v>
      </c>
      <c r="Z229" s="4">
        <v>3.17</v>
      </c>
      <c r="AA229" s="4">
        <v>2.93</v>
      </c>
      <c r="AB229" s="4">
        <v>2.93</v>
      </c>
      <c r="AC229" s="4">
        <v>2.8</v>
      </c>
      <c r="AD229" s="4">
        <v>2.71</v>
      </c>
      <c r="AE229" s="4">
        <v>2.64</v>
      </c>
      <c r="AF229" s="4">
        <v>2.37</v>
      </c>
      <c r="AG229" s="4">
        <v>2.37</v>
      </c>
      <c r="AH229" s="4">
        <v>2.4300000000000002</v>
      </c>
      <c r="AI229" s="4">
        <v>2.59</v>
      </c>
      <c r="AJ229" s="4">
        <v>2.65</v>
      </c>
      <c r="AK229" s="4">
        <v>2.76</v>
      </c>
      <c r="AL229" s="4">
        <v>2.7</v>
      </c>
      <c r="AM229" s="4">
        <v>2.67</v>
      </c>
      <c r="AN229" s="4">
        <v>2.7</v>
      </c>
      <c r="AO229" s="4">
        <v>2.66</v>
      </c>
      <c r="AP229" s="4">
        <v>3.13</v>
      </c>
      <c r="AQ229" s="4">
        <v>2.71</v>
      </c>
      <c r="AR229" s="4">
        <v>2.5299999999999998</v>
      </c>
      <c r="AS229" s="4">
        <v>2.4900000000000002</v>
      </c>
      <c r="AT229" s="4">
        <v>2.4</v>
      </c>
      <c r="AU229" s="4">
        <v>2.5350000000000001</v>
      </c>
      <c r="AV229" s="4">
        <v>2.72</v>
      </c>
      <c r="AW229" s="4">
        <v>3.23</v>
      </c>
      <c r="AX229" s="4">
        <v>3.81</v>
      </c>
      <c r="AY229" s="12">
        <v>3.75</v>
      </c>
      <c r="AZ229" s="12">
        <v>4.4000000000000004</v>
      </c>
      <c r="BA229" s="12">
        <v>4.2300000000000004</v>
      </c>
      <c r="BB229" s="15">
        <v>3.11</v>
      </c>
      <c r="BC229" s="52">
        <v>3.37</v>
      </c>
      <c r="BD229" s="52">
        <v>3.09</v>
      </c>
      <c r="BE229" s="52">
        <v>3.01</v>
      </c>
      <c r="BF229" s="52">
        <v>3.06</v>
      </c>
      <c r="BG229" s="67">
        <v>3.05</v>
      </c>
      <c r="BH229" s="52">
        <v>3.05</v>
      </c>
      <c r="BI229" s="52">
        <v>3.05</v>
      </c>
      <c r="BJ229" s="52">
        <v>3.22</v>
      </c>
      <c r="BK229" s="52">
        <v>3.21</v>
      </c>
      <c r="BL229" s="52" cm="1">
        <f t="array" aca="1" ref="BL229" ca="1">_FV(EC229,"Preço")</f>
        <v>3.21</v>
      </c>
      <c r="BM229" s="69" t="s">
        <v>225</v>
      </c>
      <c r="BN229" s="36" cm="1">
        <f t="array" aca="1" ref="BN229" ca="1">_FV(EC229,"Média de volume",TRUE)</f>
        <v>8361980</v>
      </c>
      <c r="BO229" s="36">
        <v>7648200</v>
      </c>
      <c r="BP229" s="36" cm="1">
        <f t="array" aca="1" ref="BP229" ca="1">_FV(EC229,"Volume")</f>
        <v>7648200</v>
      </c>
      <c r="BQ229" s="24" cm="1">
        <f t="array" aca="1" ref="BQ229" ca="1">_FV(EC229,"Beta")</f>
        <v>2.0495000000000001</v>
      </c>
      <c r="BR229" s="71" cm="1">
        <f t="array" aca="1" ref="BR229" ca="1">_FV(EC229,"Variação (%)",TRUE)</f>
        <v>1.5823E-2</v>
      </c>
      <c r="BT229" s="17" cm="1">
        <f t="array" aca="1" ref="BT229" ca="1">_FV(EC229,"Baixo")</f>
        <v>3.08</v>
      </c>
      <c r="BU229" s="17" cm="1">
        <f t="array" aca="1" ref="BU229" ca="1">_FV(EC229,"Alto")</f>
        <v>3.25</v>
      </c>
      <c r="BV229" s="24"/>
      <c r="BW229" s="63" t="e">
        <f ca="1">SQRT(22.5*(BL229/VLOOKUP(BM229,Fundamentus!A:U,3,FALSE))*(BL229/VLOOKUP(BM229,Fundamentus!A:U,4,FALSE)))</f>
        <v>#NUM!</v>
      </c>
      <c r="BY229" s="62">
        <f t="shared" ca="1" si="241"/>
        <v>0</v>
      </c>
      <c r="BZ229" s="8"/>
      <c r="CA229" s="61">
        <f t="shared" si="242"/>
        <v>2.37</v>
      </c>
      <c r="CB229" s="61">
        <f t="shared" si="243"/>
        <v>4.4000000000000004</v>
      </c>
      <c r="CC229" s="61">
        <f t="shared" si="244"/>
        <v>2.9832539682539694</v>
      </c>
      <c r="CD229" s="14"/>
      <c r="CE229" s="35">
        <f t="shared" si="227"/>
        <v>3.011521807557012</v>
      </c>
      <c r="CF229" s="15">
        <f t="shared" si="245"/>
        <v>3.1649999999999636</v>
      </c>
      <c r="CG229" s="35">
        <f t="shared" si="228"/>
        <v>3.3184781924429152</v>
      </c>
      <c r="CI229" s="14"/>
      <c r="CJ229" s="17">
        <f t="shared" si="229"/>
        <v>0.22999999999999954</v>
      </c>
      <c r="CK229" s="17">
        <f t="shared" si="230"/>
        <v>1.2999999999999998</v>
      </c>
      <c r="CL229" s="17">
        <f t="shared" si="231"/>
        <v>2.2599999999999998</v>
      </c>
      <c r="CM229" s="38">
        <f t="shared" si="246"/>
        <v>3.33</v>
      </c>
      <c r="CN229" s="17">
        <f t="shared" si="232"/>
        <v>4.29</v>
      </c>
      <c r="CO229" s="17">
        <f t="shared" si="233"/>
        <v>5.36</v>
      </c>
      <c r="CP229" s="17">
        <f t="shared" si="234"/>
        <v>6.32</v>
      </c>
      <c r="CQ229" s="2" cm="1">
        <f t="array" aca="1" ref="CQ229" ca="1">MAX(_xlfn._xlws.FILTER(CJ229:CP229,CJ229:CP229&lt;BL229))</f>
        <v>2.2599999999999998</v>
      </c>
      <c r="CR229" s="2" cm="1">
        <f t="array" aca="1" ref="CR229" ca="1">MIN(_xlfn._xlws.FILTER($CJ229:$CP229,$CJ229:$CP229&gt;BL229))</f>
        <v>3.33</v>
      </c>
      <c r="CS229" s="16">
        <f t="shared" ca="1" si="248"/>
        <v>0.4734513274336285</v>
      </c>
      <c r="CT229" s="20">
        <f t="shared" ca="1" si="249"/>
        <v>-0.23672566371681425</v>
      </c>
      <c r="CU229" s="20">
        <f t="shared" ca="1" si="250"/>
        <v>-0.15781710914454283</v>
      </c>
      <c r="CV229" s="20">
        <f t="shared" ca="1" si="251"/>
        <v>-9.4690265486725697E-2</v>
      </c>
      <c r="CW229" s="20">
        <f t="shared" ca="1" si="252"/>
        <v>-5.2605703048180942E-2</v>
      </c>
      <c r="CX229" s="20">
        <f t="shared" ca="1" si="253"/>
        <v>-2.7850078084331088E-2</v>
      </c>
      <c r="CY229" s="20">
        <f t="shared" ca="1" si="254"/>
        <v>-1.4347009922231167E-2</v>
      </c>
      <c r="CZ229" s="20">
        <f t="shared" ca="1" si="255"/>
        <v>-7.2838665759019771E-3</v>
      </c>
      <c r="DA229" s="21">
        <f t="shared" ca="1" si="256"/>
        <v>7.2838665759019771E-3</v>
      </c>
      <c r="DB229" s="21">
        <f t="shared" ca="1" si="257"/>
        <v>1.4347009922231167E-2</v>
      </c>
      <c r="DC229" s="21">
        <f t="shared" ca="1" si="258"/>
        <v>2.7850078084331088E-2</v>
      </c>
      <c r="DD229" s="21">
        <f t="shared" ca="1" si="259"/>
        <v>5.2605703048180942E-2</v>
      </c>
      <c r="DE229" s="21">
        <f t="shared" ca="1" si="260"/>
        <v>9.4690265486725697E-2</v>
      </c>
      <c r="DF229" s="21">
        <f t="shared" ca="1" si="261"/>
        <v>0.15781710914454283</v>
      </c>
      <c r="DG229" s="21">
        <f t="shared" ca="1" si="262"/>
        <v>0.23672566371681425</v>
      </c>
      <c r="DI229" s="16" cm="1">
        <f t="array" aca="1" ref="DI229" ca="1">MAX(_xlfn._xlws.FILTER(CT229:DG229,CT229:DG229&lt;BR229))</f>
        <v>1.4347009922231167E-2</v>
      </c>
      <c r="DJ229" s="16" cm="1">
        <f t="array" aca="1" ref="DJ229" ca="1">MIN(_xlfn._xlws.FILTER(CT229:DG229,CT229:DG229&gt;BR229))</f>
        <v>2.7850078084331088E-2</v>
      </c>
      <c r="DK229" s="2" cm="1">
        <f t="array" aca="1" ref="DK229" ca="1">_FV(EC229,"Fechamento anterior",TRUE)</f>
        <v>3.16</v>
      </c>
      <c r="DL229" s="28">
        <f t="shared" ca="1" si="235"/>
        <v>0.10929181947237099</v>
      </c>
      <c r="DM229" s="15">
        <f t="shared" ca="1" si="263"/>
        <v>3.2053365513542507</v>
      </c>
      <c r="DN229" s="15">
        <f t="shared" ca="1" si="264"/>
        <v>3.2480062467464865</v>
      </c>
      <c r="DO229" s="9"/>
      <c r="DP229" s="9"/>
      <c r="DQ229" s="9"/>
      <c r="DR229" s="89">
        <v>6.3696603022445732E-3</v>
      </c>
      <c r="DS229" s="89">
        <v>7.8298513081121839E-3</v>
      </c>
      <c r="DT229" s="89">
        <v>1.4567733151803954E-2</v>
      </c>
      <c r="DU229" s="89">
        <v>1.350306816209992E-2</v>
      </c>
      <c r="DV229" s="89">
        <f t="shared" ca="1" si="236"/>
        <v>1.350306816209992E-2</v>
      </c>
      <c r="DW229" s="72">
        <f t="shared" ca="1" si="237"/>
        <v>0.29320126386530787</v>
      </c>
      <c r="DX229" s="37"/>
      <c r="DY229" s="35">
        <f t="shared" si="247"/>
        <v>7.6739096221475692E-2</v>
      </c>
      <c r="DZ229" s="56"/>
      <c r="EA229" s="56"/>
      <c r="EC229" s="2" t="e" vm="231">
        <v>#VALUE!</v>
      </c>
      <c r="EE229" s="10" cm="1">
        <f t="array" aca="1" ref="EE229" ca="1">_FV(EC229,"Ações em circulação",TRUE)</f>
        <v>490392000</v>
      </c>
      <c r="EF229" s="18">
        <f>VLOOKUP(BM229,Fundamentus!A:U,5,FALSE)</f>
        <v>7.9000000000000001E-2</v>
      </c>
      <c r="EG229" s="2">
        <f t="shared" ca="1" si="238"/>
        <v>19926054683.544304</v>
      </c>
      <c r="EH229" s="17">
        <v>-2008546312.1012659</v>
      </c>
      <c r="EI229" s="17">
        <f t="shared" ca="1" si="239"/>
        <v>-2008546312.1012659</v>
      </c>
      <c r="EK229" s="16">
        <f t="shared" ca="1" si="226"/>
        <v>0</v>
      </c>
      <c r="EL229" s="32" t="str">
        <f>IF(VLOOKUP(BM229,Fundamentus!A:U,3,FALSE)&lt;15,"Bom",IF(VLOOKUP(BM229,Fundamentus!A:U,3,FALSE)&gt;15,"Ruim","n/a"))</f>
        <v>Bom</v>
      </c>
      <c r="EM229" s="28" t="str">
        <f>IF(VLOOKUP(BM229,Fundamentus!A:U,4,FALSE)&lt;1,"Baixo",IF(VLOOKUP(BM229,Fundamentus!A:U,4,FALSE)&lt;1.5,"Moderado",IF(VLOOKUP(BM229,Fundamentus!A:U,4,FALSE)&gt;1.5,"Alto","n/a")))</f>
        <v>Baixo</v>
      </c>
      <c r="EN229" s="17" t="str">
        <f>IF(VLOOKUP(BM229,Fundamentus!A:U,8,FALSE)&lt;0,"Risco elevado",IF(VLOOKUP(BM229,Fundamentus!A:U,8,FALSE)&lt;1,"Saudável",IF(VLOOKUP(BM229,Fundamentus!A:U,8,FALSE)&lt;3,"Estável",IF(VLOOKUP(BM229,Fundamentus!A:U,8,FALSE)&gt;3,"Alerta","n/a"))))</f>
        <v>Risco elevado</v>
      </c>
      <c r="EO229" s="28" t="str">
        <f t="shared" si="240"/>
        <v>Ruim</v>
      </c>
      <c r="EP229" s="17" t="str">
        <f>IF(VLOOKUP(BM229,Fundamentus!A:U,12,FALSE)&lt;2,"Subvalorizada",IF(VLOOKUP(BM229,Fundamentus!A:U,12,FALSE)&lt;6,"Muita barata",IF(VLOOKUP(BM229,Fundamentus!A:U,12,FALSE)&lt;6,"Barata",IF(VLOOKUP(BM229,Fundamentus!A:U,12,FALSE)&lt;8,"Atrativa",IF(VLOOKUP(BM229,Fundamentus!A:U,12,FALSE)&gt;8,"Supervalorizada","n/a")))))</f>
        <v>Subvalorizada</v>
      </c>
      <c r="ER229" s="17" t="str">
        <f>IF(VLOOKUP(BM229,Fundamentus!A:U,17,FALSE)&lt;0.1,"Fraco retorno",IF(VLOOKUP(BM229,Fundamentus!A:U,17,FALSE)&gt;0.1,"Bom retorno","n/a"))</f>
        <v>Fraco retorno</v>
      </c>
      <c r="ES229" s="17" t="str">
        <f>IF(VLOOKUP(BM229,Fundamentus!A:U,16,FALSE)&lt;0.1,"Ineficiente",IF(VLOOKUP(BM229,Fundamentus!A:U,16,FALSE)&gt;0.1,"Eficiente","n/a"))</f>
        <v>Eficiente</v>
      </c>
      <c r="ET229" s="33" t="str">
        <f>IF(VLOOKUP(BM229,Fundamentus!A:U,16,FALSE)&lt;0.1,"Oper. Ineficiente",IF(VLOOKUP(BM229,Fundamentus!A:U,16,FALSE)&gt;0.1,"Oper.Eficiente","n/a"))</f>
        <v>Oper.Eficiente</v>
      </c>
      <c r="EU229" s="34">
        <f>VLOOKUP(BM229,Fundamentus!A:U,14,FALSE)</f>
        <v>-0.1008</v>
      </c>
      <c r="EV229" s="17" t="str">
        <f>IF(VLOOKUP(BM229,Fundamentus!A:U,21,FALSE)&lt;0,"Negativo",IF(VLOOKUP(BM229,Fundamentus!A:U,21,FALSE)&lt;0.05,"Fraco",IF(VLOOKUP(BM229,Fundamentus!A:U,21,FALSE)&lt;0.1,"Bom",IF(VLOOKUP(BM229,Fundamentus!A:U,21,FALSE)&gt;0.1,"Muito bom","n/a"))))</f>
        <v>Negativo</v>
      </c>
      <c r="EX229" s="29" t="str">
        <f>IF(VLOOKUP(BM229,Fundamentus!A:U,15,FALSE)&gt;1,"Bom",IF(VLOOKUP(BM229,Fundamentus!A:U,15,FALSE)&lt;1,"Ruim","n/a"))</f>
        <v>Ruim</v>
      </c>
      <c r="EY229" s="17" t="str">
        <f>IF(VLOOKUP(BM229,Fundamentus!A:U,20,FALSE)&lt;0.5,"Baixa",IF(VLOOKUP(BM229,Fundamentus!A:U,20,FALSE)&lt;1,"Moderada",IF(VLOOKUP(BM229,Fundamentus!A:U,20,FALSE)&lt;2,"Alerta",IF(VLOOKUP(BM229,Fundamentus!A:U,20,FALSE)&gt;2,"Alta","n/a"))))</f>
        <v>Alerta</v>
      </c>
    </row>
    <row r="230" spans="1:155" s="2" customFormat="1" ht="11.25" x14ac:dyDescent="0.2">
      <c r="A230" s="4">
        <v>4.6500000000000004</v>
      </c>
      <c r="B230" s="4">
        <v>4.7</v>
      </c>
      <c r="C230" s="4">
        <v>5.88</v>
      </c>
      <c r="D230" s="4">
        <v>5.34</v>
      </c>
      <c r="E230" s="4">
        <v>5.3</v>
      </c>
      <c r="F230" s="4">
        <v>5.38</v>
      </c>
      <c r="G230" s="4">
        <v>5.86</v>
      </c>
      <c r="H230" s="4">
        <v>5.38</v>
      </c>
      <c r="I230" s="4">
        <v>5.88</v>
      </c>
      <c r="J230" s="4">
        <v>6.19</v>
      </c>
      <c r="K230" s="4">
        <v>6.09</v>
      </c>
      <c r="L230" s="4">
        <v>5.79</v>
      </c>
      <c r="M230" s="4">
        <v>5.84</v>
      </c>
      <c r="N230" s="4">
        <v>5.63</v>
      </c>
      <c r="O230" s="4">
        <v>6.37</v>
      </c>
      <c r="P230" s="4">
        <v>6.22</v>
      </c>
      <c r="Q230" s="4">
        <v>6.35</v>
      </c>
      <c r="R230" s="4">
        <v>6.9</v>
      </c>
      <c r="S230" s="4">
        <v>4.1900000000000004</v>
      </c>
      <c r="T230" s="4">
        <v>4.37</v>
      </c>
      <c r="U230" s="4">
        <v>4.17</v>
      </c>
      <c r="V230" s="4">
        <v>4.12</v>
      </c>
      <c r="W230" s="4">
        <v>3.76</v>
      </c>
      <c r="X230" s="4">
        <v>3.5</v>
      </c>
      <c r="Y230" s="4">
        <v>3.51</v>
      </c>
      <c r="Z230" s="4">
        <v>3.51</v>
      </c>
      <c r="AA230" s="4">
        <v>3.4</v>
      </c>
      <c r="AB230" s="4">
        <v>3.44</v>
      </c>
      <c r="AC230" s="4">
        <v>3.34</v>
      </c>
      <c r="AD230" s="4">
        <v>3.2</v>
      </c>
      <c r="AE230" s="4">
        <v>3.2</v>
      </c>
      <c r="AF230" s="4">
        <v>3.17</v>
      </c>
      <c r="AG230" s="4">
        <v>2.95</v>
      </c>
      <c r="AH230" s="4">
        <v>2.65</v>
      </c>
      <c r="AI230" s="4">
        <v>2.82</v>
      </c>
      <c r="AJ230" s="4">
        <v>2.61</v>
      </c>
      <c r="AK230" s="4">
        <v>2.74</v>
      </c>
      <c r="AL230" s="4">
        <v>3.06</v>
      </c>
      <c r="AM230" s="4">
        <v>3.07</v>
      </c>
      <c r="AN230" s="4">
        <v>3.21</v>
      </c>
      <c r="AO230" s="4">
        <v>3.83</v>
      </c>
      <c r="AP230" s="4">
        <v>3.93</v>
      </c>
      <c r="AQ230" s="4">
        <v>3.42</v>
      </c>
      <c r="AR230" s="4">
        <v>3.22</v>
      </c>
      <c r="AS230" s="4">
        <v>3.51</v>
      </c>
      <c r="AT230" s="4">
        <v>3.57</v>
      </c>
      <c r="AU230" s="4">
        <v>3.76</v>
      </c>
      <c r="AV230" s="4">
        <v>3.47</v>
      </c>
      <c r="AW230" s="4">
        <v>3.13</v>
      </c>
      <c r="AX230" s="4">
        <v>3.29</v>
      </c>
      <c r="AY230" s="12">
        <v>3.88</v>
      </c>
      <c r="AZ230" s="12">
        <v>6.1</v>
      </c>
      <c r="BA230" s="12">
        <v>6.42</v>
      </c>
      <c r="BB230" s="15">
        <v>7.45</v>
      </c>
      <c r="BC230" s="52">
        <v>8.35</v>
      </c>
      <c r="BD230" s="52">
        <v>7.28</v>
      </c>
      <c r="BE230" s="52">
        <v>8.02</v>
      </c>
      <c r="BF230" s="52">
        <v>7.44</v>
      </c>
      <c r="BG230" s="67">
        <v>7.06</v>
      </c>
      <c r="BH230" s="52">
        <v>6.99</v>
      </c>
      <c r="BI230" s="52">
        <v>7.06</v>
      </c>
      <c r="BJ230" s="52">
        <v>6.95</v>
      </c>
      <c r="BK230" s="52">
        <v>7.33</v>
      </c>
      <c r="BL230" s="52" cm="1">
        <f t="array" aca="1" ref="BL230" ca="1">_FV(EC230,"Preço")</f>
        <v>7.33</v>
      </c>
      <c r="BM230" s="69" t="s">
        <v>226</v>
      </c>
      <c r="BN230" s="36" cm="1">
        <f t="array" aca="1" ref="BN230" ca="1">_FV(EC230,"Média de volume",TRUE)</f>
        <v>2946220</v>
      </c>
      <c r="BO230" s="36">
        <v>10220000</v>
      </c>
      <c r="BP230" s="36" cm="1">
        <f t="array" aca="1" ref="BP230" ca="1">_FV(EC230,"Volume")</f>
        <v>10220000</v>
      </c>
      <c r="BQ230" s="24" cm="1">
        <f t="array" aca="1" ref="BQ230" ca="1">_FV(EC230,"Beta")</f>
        <v>1.8791</v>
      </c>
      <c r="BR230" s="71" cm="1">
        <f t="array" aca="1" ref="BR230" ca="1">_FV(EC230,"Variação (%)",TRUE)</f>
        <v>9.0774000000000007E-2</v>
      </c>
      <c r="BT230" s="17" cm="1">
        <f t="array" aca="1" ref="BT230" ca="1">_FV(EC230,"Baixo")</f>
        <v>6.98</v>
      </c>
      <c r="BU230" s="17" cm="1">
        <f t="array" aca="1" ref="BU230" ca="1">_FV(EC230,"Alto")</f>
        <v>7.44</v>
      </c>
      <c r="BV230" s="24"/>
      <c r="BW230" s="63" t="e">
        <f ca="1">SQRT(22.5*(BL230/VLOOKUP(BM230,Fundamentus!A:U,3,FALSE))*(BL230/VLOOKUP(BM230,Fundamentus!A:U,4,FALSE)))</f>
        <v>#NUM!</v>
      </c>
      <c r="BY230" s="62">
        <f t="shared" ca="1" si="241"/>
        <v>0</v>
      </c>
      <c r="BZ230" s="8"/>
      <c r="CA230" s="61">
        <f t="shared" si="242"/>
        <v>2.61</v>
      </c>
      <c r="CB230" s="61">
        <f t="shared" si="243"/>
        <v>8.35</v>
      </c>
      <c r="CC230" s="61">
        <f t="shared" si="244"/>
        <v>4.8126984126984116</v>
      </c>
      <c r="CD230" s="14"/>
      <c r="CE230" s="35">
        <f t="shared" si="227"/>
        <v>6.7651562932121809</v>
      </c>
      <c r="CF230" s="15">
        <f t="shared" si="245"/>
        <v>7.1280000000000427</v>
      </c>
      <c r="CG230" s="35">
        <f t="shared" si="228"/>
        <v>7.4908437067879046</v>
      </c>
      <c r="CI230" s="14"/>
      <c r="CJ230" s="17">
        <f t="shared" si="229"/>
        <v>-2.15</v>
      </c>
      <c r="CK230" s="17">
        <f t="shared" si="230"/>
        <v>0.22999999999999954</v>
      </c>
      <c r="CL230" s="17">
        <f t="shared" si="231"/>
        <v>3.59</v>
      </c>
      <c r="CM230" s="38">
        <f t="shared" si="246"/>
        <v>5.97</v>
      </c>
      <c r="CN230" s="17">
        <f t="shared" si="232"/>
        <v>9.33</v>
      </c>
      <c r="CO230" s="17">
        <f t="shared" si="233"/>
        <v>11.71</v>
      </c>
      <c r="CP230" s="17">
        <f t="shared" si="234"/>
        <v>15.07</v>
      </c>
      <c r="CQ230" s="2" cm="1">
        <f t="array" aca="1" ref="CQ230" ca="1">MAX(_xlfn._xlws.FILTER(CJ230:CP230,CJ230:CP230&lt;BL230))</f>
        <v>5.97</v>
      </c>
      <c r="CR230" s="2" cm="1">
        <f t="array" aca="1" ref="CR230" ca="1">MIN(_xlfn._xlws.FILTER($CJ230:$CP230,$CJ230:$CP230&gt;BL230))</f>
        <v>9.33</v>
      </c>
      <c r="CS230" s="16">
        <f t="shared" ca="1" si="248"/>
        <v>0.56281407035175879</v>
      </c>
      <c r="CT230" s="20">
        <f t="shared" ca="1" si="249"/>
        <v>-0.28140703517587939</v>
      </c>
      <c r="CU230" s="20">
        <f t="shared" ca="1" si="250"/>
        <v>-0.18760469011725292</v>
      </c>
      <c r="CV230" s="20">
        <f t="shared" ca="1" si="251"/>
        <v>-0.11256281407035176</v>
      </c>
      <c r="CW230" s="20">
        <f t="shared" ca="1" si="252"/>
        <v>-6.2534896705750978E-2</v>
      </c>
      <c r="CX230" s="20">
        <f t="shared" ca="1" si="253"/>
        <v>-3.3106710020691696E-2</v>
      </c>
      <c r="CY230" s="20">
        <f t="shared" ca="1" si="254"/>
        <v>-1.7054971828841175E-2</v>
      </c>
      <c r="CZ230" s="20">
        <f t="shared" ca="1" si="255"/>
        <v>-8.6586780054116741E-3</v>
      </c>
      <c r="DA230" s="21">
        <f t="shared" ca="1" si="256"/>
        <v>8.6586780054116741E-3</v>
      </c>
      <c r="DB230" s="21">
        <f t="shared" ca="1" si="257"/>
        <v>1.7054971828841175E-2</v>
      </c>
      <c r="DC230" s="21">
        <f t="shared" ca="1" si="258"/>
        <v>3.3106710020691696E-2</v>
      </c>
      <c r="DD230" s="21">
        <f t="shared" ca="1" si="259"/>
        <v>6.2534896705750978E-2</v>
      </c>
      <c r="DE230" s="21">
        <f t="shared" ca="1" si="260"/>
        <v>0.11256281407035176</v>
      </c>
      <c r="DF230" s="21">
        <f t="shared" ca="1" si="261"/>
        <v>0.18760469011725292</v>
      </c>
      <c r="DG230" s="21">
        <f t="shared" ca="1" si="262"/>
        <v>0.28140703517587939</v>
      </c>
      <c r="DI230" s="16" cm="1">
        <f t="array" aca="1" ref="DI230" ca="1">MAX(_xlfn._xlws.FILTER(CT230:DG230,CT230:DG230&lt;BR230))</f>
        <v>6.2534896705750978E-2</v>
      </c>
      <c r="DJ230" s="16" cm="1">
        <f t="array" aca="1" ref="DJ230" ca="1">MIN(_xlfn._xlws.FILTER(CT230:DG230,CT230:DG230&gt;BR230))</f>
        <v>0.11256281407035176</v>
      </c>
      <c r="DK230" s="2" cm="1">
        <f t="array" aca="1" ref="DK230" ca="1">_FV(EC230,"Fechamento anterior",TRUE)</f>
        <v>6.72</v>
      </c>
      <c r="DL230" s="28">
        <f t="shared" ca="1" si="235"/>
        <v>0.56446308992346994</v>
      </c>
      <c r="DM230" s="15">
        <f t="shared" ca="1" si="263"/>
        <v>7.1402345058626464</v>
      </c>
      <c r="DN230" s="15">
        <f t="shared" ca="1" si="264"/>
        <v>7.4764221105527637</v>
      </c>
      <c r="DO230" s="9"/>
      <c r="DP230" s="9"/>
      <c r="DQ230" s="9"/>
      <c r="DR230" s="89">
        <v>2.6060050328053502E-2</v>
      </c>
      <c r="DS230" s="89">
        <v>2.9567727942083233E-2</v>
      </c>
      <c r="DT230" s="89">
        <v>1.7317356010823348E-2</v>
      </c>
      <c r="DU230" s="89">
        <v>5.0027917364600785E-2</v>
      </c>
      <c r="DV230" s="89">
        <f t="shared" ca="1" si="236"/>
        <v>5.0027917364600785E-2</v>
      </c>
      <c r="DW230" s="72">
        <f t="shared" ca="1" si="237"/>
        <v>0.55671352767338345</v>
      </c>
      <c r="DX230" s="37"/>
      <c r="DY230" s="35">
        <f t="shared" si="247"/>
        <v>0.18142185339393083</v>
      </c>
      <c r="DZ230" s="56"/>
      <c r="EA230" s="56"/>
      <c r="EC230" s="2" t="e" vm="232">
        <v>#VALUE!</v>
      </c>
      <c r="EE230" s="10" cm="1">
        <f t="array" aca="1" ref="EE230" ca="1">_FV(EC230,"Ações em circulação",TRUE)</f>
        <v>112751400</v>
      </c>
      <c r="EF230" s="18">
        <f>VLOOKUP(BM230,Fundamentus!A:U,5,FALSE)</f>
        <v>2.077</v>
      </c>
      <c r="EG230" s="2">
        <f t="shared" ca="1" si="238"/>
        <v>397914184.88204139</v>
      </c>
      <c r="EH230" s="17">
        <v>-21208826.054212805</v>
      </c>
      <c r="EI230" s="17">
        <f t="shared" ca="1" si="239"/>
        <v>-21208826.054212805</v>
      </c>
      <c r="EK230" s="16">
        <f t="shared" ca="1" si="226"/>
        <v>0</v>
      </c>
      <c r="EL230" s="32" t="str">
        <f>IF(VLOOKUP(BM230,Fundamentus!A:U,3,FALSE)&lt;15,"Bom",IF(VLOOKUP(BM230,Fundamentus!A:U,3,FALSE)&gt;15,"Ruim","n/a"))</f>
        <v>Bom</v>
      </c>
      <c r="EM230" s="28" t="str">
        <f>IF(VLOOKUP(BM230,Fundamentus!A:U,4,FALSE)&lt;1,"Baixo",IF(VLOOKUP(BM230,Fundamentus!A:U,4,FALSE)&lt;1.5,"Moderado",IF(VLOOKUP(BM230,Fundamentus!A:U,4,FALSE)&gt;1.5,"Alto","n/a")))</f>
        <v>Alto</v>
      </c>
      <c r="EN230" s="17" t="str">
        <f>IF(VLOOKUP(BM230,Fundamentus!A:U,8,FALSE)&lt;0,"Risco elevado",IF(VLOOKUP(BM230,Fundamentus!A:U,8,FALSE)&lt;1,"Saudável",IF(VLOOKUP(BM230,Fundamentus!A:U,8,FALSE)&lt;3,"Estável",IF(VLOOKUP(BM230,Fundamentus!A:U,8,FALSE)&gt;3,"Alerta","n/a"))))</f>
        <v>Alerta</v>
      </c>
      <c r="EO230" s="28" t="str">
        <f t="shared" si="240"/>
        <v>Bom</v>
      </c>
      <c r="EP230" s="17" t="str">
        <f>IF(VLOOKUP(BM230,Fundamentus!A:U,12,FALSE)&lt;2,"Subvalorizada",IF(VLOOKUP(BM230,Fundamentus!A:U,12,FALSE)&lt;6,"Muita barata",IF(VLOOKUP(BM230,Fundamentus!A:U,12,FALSE)&lt;6,"Barata",IF(VLOOKUP(BM230,Fundamentus!A:U,12,FALSE)&lt;8,"Atrativa",IF(VLOOKUP(BM230,Fundamentus!A:U,12,FALSE)&gt;8,"Supervalorizada","n/a")))))</f>
        <v>Subvalorizada</v>
      </c>
      <c r="ER230" s="17" t="str">
        <f>IF(VLOOKUP(BM230,Fundamentus!A:U,17,FALSE)&lt;0.1,"Fraco retorno",IF(VLOOKUP(BM230,Fundamentus!A:U,17,FALSE)&gt;0.1,"Bom retorno","n/a"))</f>
        <v>Fraco retorno</v>
      </c>
      <c r="ES230" s="17" t="str">
        <f>IF(VLOOKUP(BM230,Fundamentus!A:U,16,FALSE)&lt;0.1,"Ineficiente",IF(VLOOKUP(BM230,Fundamentus!A:U,16,FALSE)&gt;0.1,"Eficiente","n/a"))</f>
        <v>Ineficiente</v>
      </c>
      <c r="ET230" s="33" t="str">
        <f>IF(VLOOKUP(BM230,Fundamentus!A:U,16,FALSE)&lt;0.1,"Oper. Ineficiente",IF(VLOOKUP(BM230,Fundamentus!A:U,16,FALSE)&gt;0.1,"Oper.Eficiente","n/a"))</f>
        <v>Oper. Ineficiente</v>
      </c>
      <c r="EU230" s="34">
        <f>VLOOKUP(BM230,Fundamentus!A:U,14,FALSE)</f>
        <v>-5.33E-2</v>
      </c>
      <c r="EV230" s="17" t="str">
        <f>IF(VLOOKUP(BM230,Fundamentus!A:U,21,FALSE)&lt;0,"Negativo",IF(VLOOKUP(BM230,Fundamentus!A:U,21,FALSE)&lt;0.05,"Fraco",IF(VLOOKUP(BM230,Fundamentus!A:U,21,FALSE)&lt;0.1,"Bom",IF(VLOOKUP(BM230,Fundamentus!A:U,21,FALSE)&gt;0.1,"Muito bom","n/a"))))</f>
        <v>Muito bom</v>
      </c>
      <c r="EX230" s="29" t="str">
        <f>IF(VLOOKUP(BM230,Fundamentus!A:U,15,FALSE)&gt;1,"Bom",IF(VLOOKUP(BM230,Fundamentus!A:U,15,FALSE)&lt;1,"Ruim","n/a"))</f>
        <v>Bom</v>
      </c>
      <c r="EY230" s="17" t="str">
        <f>IF(VLOOKUP(BM230,Fundamentus!A:U,20,FALSE)&lt;0.5,"Baixa",IF(VLOOKUP(BM230,Fundamentus!A:U,20,FALSE)&lt;1,"Moderada",IF(VLOOKUP(BM230,Fundamentus!A:U,20,FALSE)&lt;2,"Alerta",IF(VLOOKUP(BM230,Fundamentus!A:U,20,FALSE)&gt;2,"Alta","n/a"))))</f>
        <v>Baixa</v>
      </c>
    </row>
    <row r="231" spans="1:155" s="2" customFormat="1" ht="11.25" x14ac:dyDescent="0.2">
      <c r="A231" s="4">
        <v>4.9800000000000004</v>
      </c>
      <c r="B231" s="4">
        <v>4.92</v>
      </c>
      <c r="C231" s="4">
        <v>4.83</v>
      </c>
      <c r="D231" s="4">
        <v>4.62</v>
      </c>
      <c r="E231" s="4">
        <v>4.4000000000000004</v>
      </c>
      <c r="F231" s="4">
        <v>3.77</v>
      </c>
      <c r="G231" s="4">
        <v>3.75</v>
      </c>
      <c r="H231" s="4">
        <v>3.77</v>
      </c>
      <c r="I231" s="4">
        <v>3.79</v>
      </c>
      <c r="J231" s="4">
        <v>3.93</v>
      </c>
      <c r="K231" s="4">
        <v>4.05</v>
      </c>
      <c r="L231" s="4">
        <v>4.1500000000000004</v>
      </c>
      <c r="M231" s="4">
        <v>4.08</v>
      </c>
      <c r="N231" s="4">
        <v>4.5999999999999996</v>
      </c>
      <c r="O231" s="4">
        <v>4.28</v>
      </c>
      <c r="P231" s="4">
        <v>4.22</v>
      </c>
      <c r="Q231" s="4">
        <v>4.12</v>
      </c>
      <c r="R231" s="4">
        <v>4.1500000000000004</v>
      </c>
      <c r="S231" s="4">
        <v>4.05</v>
      </c>
      <c r="T231" s="4">
        <v>4.01</v>
      </c>
      <c r="U231" s="4">
        <v>3.91</v>
      </c>
      <c r="V231" s="4">
        <v>4.01</v>
      </c>
      <c r="W231" s="4">
        <v>3.92</v>
      </c>
      <c r="X231" s="4">
        <v>3.8</v>
      </c>
      <c r="Y231" s="4">
        <v>3.71</v>
      </c>
      <c r="Z231" s="4">
        <v>3.7</v>
      </c>
      <c r="AA231" s="4">
        <v>3.79</v>
      </c>
      <c r="AB231" s="4">
        <v>3.64</v>
      </c>
      <c r="AC231" s="4">
        <v>3.56</v>
      </c>
      <c r="AD231" s="4">
        <v>3.48</v>
      </c>
      <c r="AE231" s="4">
        <v>3.2</v>
      </c>
      <c r="AF231" s="4">
        <v>7.31</v>
      </c>
      <c r="AG231" s="4">
        <v>6.84</v>
      </c>
      <c r="AH231" s="4">
        <v>6.61</v>
      </c>
      <c r="AI231" s="4">
        <v>6.57</v>
      </c>
      <c r="AJ231" s="4">
        <v>5.8</v>
      </c>
      <c r="AK231" s="4">
        <v>5.61</v>
      </c>
      <c r="AL231" s="4">
        <v>5.6</v>
      </c>
      <c r="AM231" s="4">
        <v>5.37</v>
      </c>
      <c r="AN231" s="4">
        <v>5.47</v>
      </c>
      <c r="AO231" s="4">
        <v>5.25</v>
      </c>
      <c r="AP231" s="4">
        <v>5.19</v>
      </c>
      <c r="AQ231" s="4">
        <v>5.64</v>
      </c>
      <c r="AR231" s="4">
        <v>5.25</v>
      </c>
      <c r="AS231" s="4">
        <v>4.97</v>
      </c>
      <c r="AT231" s="4">
        <v>3.7</v>
      </c>
      <c r="AU231" s="4">
        <v>3.835</v>
      </c>
      <c r="AV231" s="4">
        <v>3.72</v>
      </c>
      <c r="AW231" s="4">
        <v>3.95</v>
      </c>
      <c r="AX231" s="4">
        <v>3.78</v>
      </c>
      <c r="AY231" s="12">
        <v>3.71</v>
      </c>
      <c r="AZ231" s="12">
        <v>3.65</v>
      </c>
      <c r="BA231" s="12">
        <v>3.65</v>
      </c>
      <c r="BB231" s="15">
        <v>3.78</v>
      </c>
      <c r="BC231" s="52">
        <v>3.91</v>
      </c>
      <c r="BD231" s="52">
        <v>4.03</v>
      </c>
      <c r="BE231" s="52">
        <v>5.18</v>
      </c>
      <c r="BF231" s="52">
        <v>4.54</v>
      </c>
      <c r="BG231" s="67">
        <v>3.93</v>
      </c>
      <c r="BH231" s="52">
        <v>4.1100000000000003</v>
      </c>
      <c r="BI231" s="52">
        <v>3.83</v>
      </c>
      <c r="BJ231" s="52">
        <v>3.95</v>
      </c>
      <c r="BK231" s="52">
        <v>4.17</v>
      </c>
      <c r="BL231" s="52" cm="1">
        <f t="array" aca="1" ref="BL231" ca="1">_FV(EC231,"Preço")</f>
        <v>4.17</v>
      </c>
      <c r="BM231" s="69" t="s">
        <v>227</v>
      </c>
      <c r="BN231" s="36" cm="1">
        <f t="array" aca="1" ref="BN231" ca="1">_FV(EC231,"Média de volume",TRUE)</f>
        <v>29140</v>
      </c>
      <c r="BO231" s="36">
        <v>25800</v>
      </c>
      <c r="BP231" s="36" cm="1">
        <f t="array" aca="1" ref="BP231" ca="1">_FV(EC231,"Volume")</f>
        <v>25800</v>
      </c>
      <c r="BQ231" s="24" cm="1">
        <f t="array" aca="1" ref="BQ231" ca="1">_FV(EC231,"Beta")</f>
        <v>0.51329999999999998</v>
      </c>
      <c r="BR231" s="71" cm="1">
        <f t="array" aca="1" ref="BR231" ca="1">_FV(EC231,"Variação (%)",TRUE)</f>
        <v>-6.9195999999999994E-2</v>
      </c>
      <c r="BT231" s="17" cm="1">
        <f t="array" aca="1" ref="BT231" ca="1">_FV(EC231,"Baixo")</f>
        <v>4.0599999999999996</v>
      </c>
      <c r="BU231" s="17" cm="1">
        <f t="array" aca="1" ref="BU231" ca="1">_FV(EC231,"Alto")</f>
        <v>4.43</v>
      </c>
      <c r="BV231" s="24"/>
      <c r="BW231" s="63">
        <f ca="1">SQRT(22.5*(BL231/VLOOKUP(BM231,Fundamentus!A:U,3,FALSE))*(BL231/VLOOKUP(BM231,Fundamentus!A:U,4,FALSE)))</f>
        <v>96.74737116713402</v>
      </c>
      <c r="BY231" s="62">
        <f t="shared" ca="1" si="241"/>
        <v>0</v>
      </c>
      <c r="BZ231" s="8"/>
      <c r="CA231" s="61">
        <f t="shared" si="242"/>
        <v>3.2</v>
      </c>
      <c r="CB231" s="61">
        <f t="shared" si="243"/>
        <v>7.31</v>
      </c>
      <c r="CC231" s="61">
        <f t="shared" si="244"/>
        <v>4.4142063492063501</v>
      </c>
      <c r="CD231" s="14"/>
      <c r="CE231" s="35">
        <f t="shared" si="227"/>
        <v>3.5666187075180731</v>
      </c>
      <c r="CF231" s="15">
        <f t="shared" si="245"/>
        <v>4.0300000000000011</v>
      </c>
      <c r="CG231" s="35">
        <f t="shared" si="228"/>
        <v>4.4933812924819287</v>
      </c>
      <c r="CI231" s="14"/>
      <c r="CJ231" s="17">
        <f t="shared" si="229"/>
        <v>-1.7799999999999985</v>
      </c>
      <c r="CK231" s="17">
        <f t="shared" si="230"/>
        <v>0.71000000000000085</v>
      </c>
      <c r="CL231" s="17">
        <f t="shared" si="231"/>
        <v>2.330000000000001</v>
      </c>
      <c r="CM231" s="38">
        <f t="shared" si="246"/>
        <v>4.82</v>
      </c>
      <c r="CN231" s="17">
        <f t="shared" si="232"/>
        <v>6.44</v>
      </c>
      <c r="CO231" s="17">
        <f t="shared" si="233"/>
        <v>8.93</v>
      </c>
      <c r="CP231" s="17">
        <f t="shared" si="234"/>
        <v>10.55</v>
      </c>
      <c r="CQ231" s="2" cm="1">
        <f t="array" aca="1" ref="CQ231" ca="1">MAX(_xlfn._xlws.FILTER(CJ231:CP231,CJ231:CP231&lt;BL231))</f>
        <v>2.330000000000001</v>
      </c>
      <c r="CR231" s="2" cm="1">
        <f t="array" aca="1" ref="CR231" ca="1">MIN(_xlfn._xlws.FILTER($CJ231:$CP231,$CJ231:$CP231&gt;BL231))</f>
        <v>4.82</v>
      </c>
      <c r="CS231" s="16">
        <f t="shared" ca="1" si="248"/>
        <v>1.0686695278969949</v>
      </c>
      <c r="CT231" s="20">
        <f t="shared" ca="1" si="249"/>
        <v>-0.53433476394849744</v>
      </c>
      <c r="CU231" s="20">
        <f t="shared" ca="1" si="250"/>
        <v>-0.35622317596566494</v>
      </c>
      <c r="CV231" s="20">
        <f t="shared" ca="1" si="251"/>
        <v>-0.21373390557939898</v>
      </c>
      <c r="CW231" s="20">
        <f t="shared" ca="1" si="252"/>
        <v>-0.11874105865522165</v>
      </c>
      <c r="CX231" s="20">
        <f t="shared" ca="1" si="253"/>
        <v>-6.2862913405705587E-2</v>
      </c>
      <c r="CY231" s="20">
        <f t="shared" ca="1" si="254"/>
        <v>-3.2383925087787722E-2</v>
      </c>
      <c r="CZ231" s="20">
        <f t="shared" ca="1" si="255"/>
        <v>-1.6441069659953768E-2</v>
      </c>
      <c r="DA231" s="21">
        <f t="shared" ca="1" si="256"/>
        <v>1.6441069659953768E-2</v>
      </c>
      <c r="DB231" s="21">
        <f t="shared" ca="1" si="257"/>
        <v>3.2383925087787722E-2</v>
      </c>
      <c r="DC231" s="21">
        <f t="shared" ca="1" si="258"/>
        <v>6.2862913405705587E-2</v>
      </c>
      <c r="DD231" s="21">
        <f t="shared" ca="1" si="259"/>
        <v>0.11874105865522165</v>
      </c>
      <c r="DE231" s="21">
        <f t="shared" ca="1" si="260"/>
        <v>0.21373390557939898</v>
      </c>
      <c r="DF231" s="21">
        <f t="shared" ca="1" si="261"/>
        <v>0.35622317596566494</v>
      </c>
      <c r="DG231" s="21">
        <f t="shared" ca="1" si="262"/>
        <v>0.53433476394849744</v>
      </c>
      <c r="DI231" s="16" cm="1">
        <f t="array" aca="1" ref="DI231" ca="1">MAX(_xlfn._xlws.FILTER(CT231:DG231,CT231:DG231&lt;BR231))</f>
        <v>-0.11874105865522165</v>
      </c>
      <c r="DJ231" s="16" cm="1">
        <f t="array" aca="1" ref="DJ231" ca="1">MIN(_xlfn._xlws.FILTER(CT231:DG231,CT231:DG231&gt;BR231))</f>
        <v>-6.2862913405705587E-2</v>
      </c>
      <c r="DK231" s="2" cm="1">
        <f t="array" aca="1" ref="DK231" ca="1">_FV(EC231,"Fechamento anterior",TRUE)</f>
        <v>4.4800000000000004</v>
      </c>
      <c r="DL231" s="28">
        <f t="shared" ca="1" si="235"/>
        <v>0.88665487844233926</v>
      </c>
      <c r="DM231" s="15">
        <f t="shared" ca="1" si="263"/>
        <v>3.9480400572246075</v>
      </c>
      <c r="DN231" s="15">
        <f t="shared" ca="1" si="264"/>
        <v>4.198374147942439</v>
      </c>
      <c r="DO231" s="9"/>
      <c r="DP231" s="9"/>
      <c r="DQ231" s="9"/>
      <c r="DR231" s="89">
        <v>2.1895452613684658E-2</v>
      </c>
      <c r="DS231" s="89">
        <v>3.0736480334449007E-2</v>
      </c>
      <c r="DT231" s="89">
        <v>3.0478988317917864E-2</v>
      </c>
      <c r="DU231" s="89">
        <v>5.5878145249516065E-2</v>
      </c>
      <c r="DV231" s="89">
        <f t="shared" ca="1" si="236"/>
        <v>5.5878145249516065E-2</v>
      </c>
      <c r="DW231" s="72">
        <f t="shared" ca="1" si="237"/>
        <v>0.30212700053155211</v>
      </c>
      <c r="DX231" s="37"/>
      <c r="DY231" s="35">
        <f t="shared" si="247"/>
        <v>0.231690646240964</v>
      </c>
      <c r="DZ231" s="56"/>
      <c r="EA231" s="56"/>
      <c r="EC231" s="2" t="e" vm="233">
        <v>#VALUE!</v>
      </c>
      <c r="EE231" s="10" cm="1">
        <f t="array" aca="1" ref="EE231" ca="1">_FV(EC231,"Ações em circulação",TRUE)</f>
        <v>53857280</v>
      </c>
      <c r="EF231" s="18">
        <f>VLOOKUP(BM231,Fundamentus!A:U,5,FALSE)</f>
        <v>4.7E-2</v>
      </c>
      <c r="EG231" s="2">
        <f t="shared" ca="1" si="238"/>
        <v>4778401225.5319147</v>
      </c>
      <c r="EH231" s="17">
        <v>-1000119376.5038298</v>
      </c>
      <c r="EI231" s="17">
        <f t="shared" ca="1" si="239"/>
        <v>-1000119376.5038298</v>
      </c>
      <c r="EK231" s="16">
        <f t="shared" ca="1" si="226"/>
        <v>0</v>
      </c>
      <c r="EL231" s="32" t="str">
        <f>IF(VLOOKUP(BM231,Fundamentus!A:U,3,FALSE)&lt;15,"Bom",IF(VLOOKUP(BM231,Fundamentus!A:U,3,FALSE)&gt;15,"Ruim","n/a"))</f>
        <v>Bom</v>
      </c>
      <c r="EM231" s="28" t="str">
        <f>IF(VLOOKUP(BM231,Fundamentus!A:U,4,FALSE)&lt;1,"Baixo",IF(VLOOKUP(BM231,Fundamentus!A:U,4,FALSE)&lt;1.5,"Moderado",IF(VLOOKUP(BM231,Fundamentus!A:U,4,FALSE)&gt;1.5,"Alto","n/a")))</f>
        <v>Baixo</v>
      </c>
      <c r="EN231" s="17" t="str">
        <f>IF(VLOOKUP(BM231,Fundamentus!A:U,8,FALSE)&lt;0,"Risco elevado",IF(VLOOKUP(BM231,Fundamentus!A:U,8,FALSE)&lt;1,"Saudável",IF(VLOOKUP(BM231,Fundamentus!A:U,8,FALSE)&lt;3,"Estável",IF(VLOOKUP(BM231,Fundamentus!A:U,8,FALSE)&gt;3,"Alerta","n/a"))))</f>
        <v>Risco elevado</v>
      </c>
      <c r="EO231" s="28" t="str">
        <f t="shared" si="240"/>
        <v>Ruim</v>
      </c>
      <c r="EP231" s="17" t="str">
        <f>IF(VLOOKUP(BM231,Fundamentus!A:U,12,FALSE)&lt;2,"Subvalorizada",IF(VLOOKUP(BM231,Fundamentus!A:U,12,FALSE)&lt;6,"Muita barata",IF(VLOOKUP(BM231,Fundamentus!A:U,12,FALSE)&lt;6,"Barata",IF(VLOOKUP(BM231,Fundamentus!A:U,12,FALSE)&lt;8,"Atrativa",IF(VLOOKUP(BM231,Fundamentus!A:U,12,FALSE)&gt;8,"Supervalorizada","n/a")))))</f>
        <v>Subvalorizada</v>
      </c>
      <c r="ER231" s="17" t="str">
        <f>IF(VLOOKUP(BM231,Fundamentus!A:U,17,FALSE)&lt;0.1,"Fraco retorno",IF(VLOOKUP(BM231,Fundamentus!A:U,17,FALSE)&gt;0.1,"Bom retorno","n/a"))</f>
        <v>Bom retorno</v>
      </c>
      <c r="ES231" s="17" t="str">
        <f>IF(VLOOKUP(BM231,Fundamentus!A:U,16,FALSE)&lt;0.1,"Ineficiente",IF(VLOOKUP(BM231,Fundamentus!A:U,16,FALSE)&gt;0.1,"Eficiente","n/a"))</f>
        <v>Ineficiente</v>
      </c>
      <c r="ET231" s="33" t="str">
        <f>IF(VLOOKUP(BM231,Fundamentus!A:U,16,FALSE)&lt;0.1,"Oper. Ineficiente",IF(VLOOKUP(BM231,Fundamentus!A:U,16,FALSE)&gt;0.1,"Oper.Eficiente","n/a"))</f>
        <v>Oper. Ineficiente</v>
      </c>
      <c r="EU231" s="34">
        <f>VLOOKUP(BM231,Fundamentus!A:U,14,FALSE)</f>
        <v>-0.20930000000000001</v>
      </c>
      <c r="EV231" s="17" t="str">
        <f>IF(VLOOKUP(BM231,Fundamentus!A:U,21,FALSE)&lt;0,"Negativo",IF(VLOOKUP(BM231,Fundamentus!A:U,21,FALSE)&lt;0.05,"Fraco",IF(VLOOKUP(BM231,Fundamentus!A:U,21,FALSE)&lt;0.1,"Bom",IF(VLOOKUP(BM231,Fundamentus!A:U,21,FALSE)&gt;0.1,"Muito bom","n/a"))))</f>
        <v>Muito bom</v>
      </c>
      <c r="EX231" s="29" t="str">
        <f>IF(VLOOKUP(BM231,Fundamentus!A:U,15,FALSE)&gt;1,"Bom",IF(VLOOKUP(BM231,Fundamentus!A:U,15,FALSE)&lt;1,"Ruim","n/a"))</f>
        <v>Ruim</v>
      </c>
      <c r="EY231" s="17" t="str">
        <f>IF(VLOOKUP(BM231,Fundamentus!A:U,20,FALSE)&lt;0.5,"Baixa",IF(VLOOKUP(BM231,Fundamentus!A:U,20,FALSE)&lt;1,"Moderada",IF(VLOOKUP(BM231,Fundamentus!A:U,20,FALSE)&lt;2,"Alerta",IF(VLOOKUP(BM231,Fundamentus!A:U,20,FALSE)&gt;2,"Alta","n/a"))))</f>
        <v>Baixa</v>
      </c>
    </row>
    <row r="232" spans="1:155" s="2" customFormat="1" ht="11.25" x14ac:dyDescent="0.2">
      <c r="A232" s="4">
        <v>5.31</v>
      </c>
      <c r="B232" s="4">
        <v>5.01</v>
      </c>
      <c r="C232" s="4">
        <v>5.4</v>
      </c>
      <c r="D232" s="4">
        <v>4.79</v>
      </c>
      <c r="E232" s="4">
        <v>4.1500000000000004</v>
      </c>
      <c r="F232" s="4">
        <v>3.73</v>
      </c>
      <c r="G232" s="4">
        <v>3.6</v>
      </c>
      <c r="H232" s="4">
        <v>3.79</v>
      </c>
      <c r="I232" s="4">
        <v>3.34</v>
      </c>
      <c r="J232" s="4">
        <v>3.56</v>
      </c>
      <c r="K232" s="4">
        <v>3.73</v>
      </c>
      <c r="L232" s="4">
        <v>3.47</v>
      </c>
      <c r="M232" s="4">
        <v>3.37</v>
      </c>
      <c r="N232" s="4">
        <v>2.93</v>
      </c>
      <c r="O232" s="4">
        <v>3.1</v>
      </c>
      <c r="P232" s="4">
        <v>2.63</v>
      </c>
      <c r="Q232" s="4">
        <v>2.91</v>
      </c>
      <c r="R232" s="4">
        <v>2.63</v>
      </c>
      <c r="S232" s="4">
        <v>2.58</v>
      </c>
      <c r="T232" s="4">
        <v>2.58</v>
      </c>
      <c r="U232" s="4">
        <v>2.2799999999999998</v>
      </c>
      <c r="V232" s="4">
        <v>2.31</v>
      </c>
      <c r="W232" s="4">
        <v>2.11</v>
      </c>
      <c r="X232" s="4">
        <v>1.9</v>
      </c>
      <c r="Y232" s="4">
        <v>1.72</v>
      </c>
      <c r="Z232" s="4">
        <v>1.66</v>
      </c>
      <c r="AA232" s="4">
        <v>1.46</v>
      </c>
      <c r="AB232" s="4">
        <v>1.49</v>
      </c>
      <c r="AC232" s="4">
        <v>1.4</v>
      </c>
      <c r="AD232" s="4">
        <v>1.59</v>
      </c>
      <c r="AE232" s="4">
        <v>1.48</v>
      </c>
      <c r="AF232" s="4">
        <v>1.3</v>
      </c>
      <c r="AG232" s="4">
        <v>1.29</v>
      </c>
      <c r="AH232" s="4">
        <v>1.1399999999999999</v>
      </c>
      <c r="AI232" s="4">
        <v>1.1499999999999999</v>
      </c>
      <c r="AJ232" s="4">
        <v>1.18</v>
      </c>
      <c r="AK232" s="4">
        <v>1.1599999999999999</v>
      </c>
      <c r="AL232" s="4">
        <v>1.27</v>
      </c>
      <c r="AM232" s="4">
        <v>1.33</v>
      </c>
      <c r="AN232" s="4">
        <v>1.37</v>
      </c>
      <c r="AO232" s="4">
        <v>1.27</v>
      </c>
      <c r="AP232" s="4">
        <v>1.1200000000000001</v>
      </c>
      <c r="AQ232" s="4">
        <v>1.1000000000000001</v>
      </c>
      <c r="AR232" s="4">
        <v>1.1000000000000001</v>
      </c>
      <c r="AS232" s="4">
        <v>1.19</v>
      </c>
      <c r="AT232" s="4">
        <v>1.19</v>
      </c>
      <c r="AU232" s="4">
        <v>1.28</v>
      </c>
      <c r="AV232" s="4">
        <v>2.11</v>
      </c>
      <c r="AW232" s="4">
        <v>2</v>
      </c>
      <c r="AX232" s="4">
        <v>1.74</v>
      </c>
      <c r="AY232" s="12">
        <v>1.57</v>
      </c>
      <c r="AZ232" s="12">
        <v>1.56</v>
      </c>
      <c r="BA232" s="12">
        <v>1.4</v>
      </c>
      <c r="BB232" s="15">
        <v>1.24</v>
      </c>
      <c r="BC232" s="52">
        <v>1.29</v>
      </c>
      <c r="BD232" s="52">
        <v>1.23</v>
      </c>
      <c r="BE232" s="52">
        <v>1.22</v>
      </c>
      <c r="BF232" s="52">
        <v>1.23</v>
      </c>
      <c r="BG232" s="67">
        <v>1.24</v>
      </c>
      <c r="BH232" s="52">
        <v>23.79</v>
      </c>
      <c r="BI232" s="52">
        <v>20.46</v>
      </c>
      <c r="BJ232" s="52">
        <v>19.05</v>
      </c>
      <c r="BK232" s="52">
        <v>19.989999999999998</v>
      </c>
      <c r="BL232" s="52" cm="1">
        <f t="array" aca="1" ref="BL232" ca="1">_FV(EC232,"Preço")</f>
        <v>19.989999999999998</v>
      </c>
      <c r="BM232" s="69" t="s">
        <v>228</v>
      </c>
      <c r="BN232" s="36" cm="1">
        <f t="array" aca="1" ref="BN232" ca="1">_FV(EC232,"Média de volume",TRUE)</f>
        <v>265230</v>
      </c>
      <c r="BO232" s="36">
        <v>328500</v>
      </c>
      <c r="BP232" s="36" cm="1">
        <f t="array" aca="1" ref="BP232" ca="1">_FV(EC232,"Volume")</f>
        <v>328500</v>
      </c>
      <c r="BQ232" s="24" cm="1">
        <f t="array" aca="1" ref="BQ232" ca="1">_FV(EC232,"Beta")</f>
        <v>1.8805000000000001</v>
      </c>
      <c r="BR232" s="71" cm="1">
        <f t="array" aca="1" ref="BR232" ca="1">_FV(EC232,"Variação (%)",TRUE)</f>
        <v>7.8791E-2</v>
      </c>
      <c r="BT232" s="17" cm="1">
        <f t="array" aca="1" ref="BT232" ca="1">_FV(EC232,"Baixo")</f>
        <v>18.29</v>
      </c>
      <c r="BU232" s="17" cm="1">
        <f t="array" aca="1" ref="BU232" ca="1">_FV(EC232,"Alto")</f>
        <v>19.989999999999998</v>
      </c>
      <c r="BV232" s="24"/>
      <c r="BW232" s="63" t="e">
        <f ca="1">SQRT(22.5*(BL232/VLOOKUP(BM232,Fundamentus!A:U,3,FALSE))*(BL232/VLOOKUP(BM232,Fundamentus!A:U,4,FALSE)))</f>
        <v>#NUM!</v>
      </c>
      <c r="BY232" s="62">
        <f t="shared" ca="1" si="241"/>
        <v>0</v>
      </c>
      <c r="BZ232" s="8"/>
      <c r="CA232" s="61">
        <f t="shared" si="242"/>
        <v>1.1000000000000001</v>
      </c>
      <c r="CB232" s="61">
        <f t="shared" si="243"/>
        <v>23.79</v>
      </c>
      <c r="CC232" s="61">
        <f t="shared" si="244"/>
        <v>3.3741269841269843</v>
      </c>
      <c r="CD232" s="14"/>
      <c r="CE232" s="35">
        <f t="shared" si="227"/>
        <v>1.4856093798242398</v>
      </c>
      <c r="CF232" s="15">
        <f t="shared" si="245"/>
        <v>20.182000000000698</v>
      </c>
      <c r="CG232" s="35">
        <f t="shared" si="228"/>
        <v>38.878390620177157</v>
      </c>
      <c r="CI232" s="14"/>
      <c r="CJ232" s="17">
        <f t="shared" si="229"/>
        <v>-17.186666666666664</v>
      </c>
      <c r="CK232" s="17">
        <f t="shared" si="230"/>
        <v>-8.0433333333333312</v>
      </c>
      <c r="CL232" s="17">
        <f t="shared" si="231"/>
        <v>5.5033333333333339</v>
      </c>
      <c r="CM232" s="38">
        <f t="shared" si="246"/>
        <v>14.646666666666667</v>
      </c>
      <c r="CN232" s="17">
        <f t="shared" si="232"/>
        <v>28.193333333333332</v>
      </c>
      <c r="CO232" s="17">
        <f t="shared" si="233"/>
        <v>37.336666666666666</v>
      </c>
      <c r="CP232" s="17">
        <f t="shared" si="234"/>
        <v>50.883333333333333</v>
      </c>
      <c r="CQ232" s="2" cm="1">
        <f t="array" aca="1" ref="CQ232" ca="1">MAX(_xlfn._xlws.FILTER(CJ232:CP232,CJ232:CP232&lt;BL232))</f>
        <v>14.646666666666667</v>
      </c>
      <c r="CR232" s="2" cm="1">
        <f t="array" aca="1" ref="CR232" ca="1">MIN(_xlfn._xlws.FILTER($CJ232:$CP232,$CJ232:$CP232&gt;BL232))</f>
        <v>28.193333333333332</v>
      </c>
      <c r="CS232" s="16">
        <f t="shared" ca="1" si="248"/>
        <v>0.92489758761948093</v>
      </c>
      <c r="CT232" s="20">
        <f t="shared" ca="1" si="249"/>
        <v>-0.46244879380974047</v>
      </c>
      <c r="CU232" s="20">
        <f t="shared" ca="1" si="250"/>
        <v>-0.30829919587316029</v>
      </c>
      <c r="CV232" s="20">
        <f t="shared" ca="1" si="251"/>
        <v>-0.18497951752389619</v>
      </c>
      <c r="CW232" s="20">
        <f t="shared" ca="1" si="252"/>
        <v>-0.10276639862438677</v>
      </c>
      <c r="CX232" s="20">
        <f t="shared" ca="1" si="253"/>
        <v>-5.4405740448204759E-2</v>
      </c>
      <c r="CY232" s="20">
        <f t="shared" ca="1" si="254"/>
        <v>-2.8027199624832754E-2</v>
      </c>
      <c r="CZ232" s="20">
        <f t="shared" ca="1" si="255"/>
        <v>-1.4229193655684322E-2</v>
      </c>
      <c r="DA232" s="21">
        <f t="shared" ca="1" si="256"/>
        <v>1.4229193655684322E-2</v>
      </c>
      <c r="DB232" s="21">
        <f t="shared" ca="1" si="257"/>
        <v>2.8027199624832754E-2</v>
      </c>
      <c r="DC232" s="21">
        <f t="shared" ca="1" si="258"/>
        <v>5.4405740448204759E-2</v>
      </c>
      <c r="DD232" s="21">
        <f t="shared" ca="1" si="259"/>
        <v>0.10276639862438677</v>
      </c>
      <c r="DE232" s="21">
        <f t="shared" ca="1" si="260"/>
        <v>0.18497951752389619</v>
      </c>
      <c r="DF232" s="21">
        <f t="shared" ca="1" si="261"/>
        <v>0.30829919587316029</v>
      </c>
      <c r="DG232" s="21">
        <f t="shared" ca="1" si="262"/>
        <v>0.46244879380974047</v>
      </c>
      <c r="DI232" s="16" cm="1">
        <f t="array" aca="1" ref="DI232" ca="1">MAX(_xlfn._xlws.FILTER(CT232:DG232,CT232:DG232&lt;BR232))</f>
        <v>5.4405740448204759E-2</v>
      </c>
      <c r="DJ232" s="16" cm="1">
        <f t="array" aca="1" ref="DJ232" ca="1">MIN(_xlfn._xlws.FILTER(CT232:DG232,CT232:DG232&gt;BR232))</f>
        <v>0.10276639862438677</v>
      </c>
      <c r="DK232" s="2" cm="1">
        <f t="array" aca="1" ref="DK232" ca="1">_FV(EC232,"Fechamento anterior",TRUE)</f>
        <v>18.53</v>
      </c>
      <c r="DL232" s="28">
        <f t="shared" ca="1" si="235"/>
        <v>0.50424063606154435</v>
      </c>
      <c r="DM232" s="15">
        <f t="shared" ca="1" si="263"/>
        <v>19.538138370505237</v>
      </c>
      <c r="DN232" s="15">
        <f t="shared" ca="1" si="264"/>
        <v>20.434261366509887</v>
      </c>
      <c r="DO232" s="9"/>
      <c r="DP232" s="9"/>
      <c r="DQ232" s="9"/>
      <c r="DR232" s="89">
        <v>0.24022582921665406</v>
      </c>
      <c r="DS232" s="89">
        <v>0.36153846153846125</v>
      </c>
      <c r="DT232" s="89">
        <v>2.6378540823372005E-2</v>
      </c>
      <c r="DU232" s="89">
        <v>4.8360658176182014E-2</v>
      </c>
      <c r="DV232" s="89">
        <f t="shared" ca="1" si="236"/>
        <v>4.8360658176182014E-2</v>
      </c>
      <c r="DW232" s="72">
        <f t="shared" ca="1" si="237"/>
        <v>-1.0269361819681961E-2</v>
      </c>
      <c r="DX232" s="37"/>
      <c r="DY232" s="35">
        <f t="shared" si="247"/>
        <v>9.3481953100882293</v>
      </c>
      <c r="DZ232" s="56"/>
      <c r="EA232" s="56"/>
      <c r="EC232" s="2" t="e" vm="234">
        <v>#VALUE!</v>
      </c>
      <c r="EE232" s="10" cm="1">
        <f t="array" aca="1" ref="EE232" ca="1">_FV(EC232,"Ações em circulação",TRUE)</f>
        <v>10766050</v>
      </c>
      <c r="EF232" s="18">
        <f>VLOOKUP(BM232,Fundamentus!A:U,5,FALSE)</f>
        <v>0.16900000000000001</v>
      </c>
      <c r="EG232" s="2">
        <f t="shared" ca="1" si="238"/>
        <v>1273451713.0177512</v>
      </c>
      <c r="EH232" s="17">
        <v>-50938068.520710051</v>
      </c>
      <c r="EI232" s="17">
        <f t="shared" ca="1" si="239"/>
        <v>-50938068.520710051</v>
      </c>
      <c r="EK232" s="16">
        <f t="shared" ca="1" si="226"/>
        <v>0</v>
      </c>
      <c r="EL232" s="32" t="str">
        <f>IF(VLOOKUP(BM232,Fundamentus!A:U,3,FALSE)&lt;15,"Bom",IF(VLOOKUP(BM232,Fundamentus!A:U,3,FALSE)&gt;15,"Ruim","n/a"))</f>
        <v>Bom</v>
      </c>
      <c r="EM232" s="28" t="str">
        <f>IF(VLOOKUP(BM232,Fundamentus!A:U,4,FALSE)&lt;1,"Baixo",IF(VLOOKUP(BM232,Fundamentus!A:U,4,FALSE)&lt;1.5,"Moderado",IF(VLOOKUP(BM232,Fundamentus!A:U,4,FALSE)&gt;1.5,"Alto","n/a")))</f>
        <v>Baixo</v>
      </c>
      <c r="EN232" s="17" t="str">
        <f>IF(VLOOKUP(BM232,Fundamentus!A:U,8,FALSE)&lt;0,"Risco elevado",IF(VLOOKUP(BM232,Fundamentus!A:U,8,FALSE)&lt;1,"Saudável",IF(VLOOKUP(BM232,Fundamentus!A:U,8,FALSE)&lt;3,"Estável",IF(VLOOKUP(BM232,Fundamentus!A:U,8,FALSE)&gt;3,"Alerta","n/a"))))</f>
        <v>Saudável</v>
      </c>
      <c r="EO232" s="28" t="str">
        <f t="shared" si="240"/>
        <v>Ruim</v>
      </c>
      <c r="EP232" s="17" t="str">
        <f>IF(VLOOKUP(BM232,Fundamentus!A:U,12,FALSE)&lt;2,"Subvalorizada",IF(VLOOKUP(BM232,Fundamentus!A:U,12,FALSE)&lt;6,"Muita barata",IF(VLOOKUP(BM232,Fundamentus!A:U,12,FALSE)&lt;6,"Barata",IF(VLOOKUP(BM232,Fundamentus!A:U,12,FALSE)&lt;8,"Atrativa",IF(VLOOKUP(BM232,Fundamentus!A:U,12,FALSE)&gt;8,"Supervalorizada","n/a")))))</f>
        <v>Subvalorizada</v>
      </c>
      <c r="ER232" s="17" t="str">
        <f>IF(VLOOKUP(BM232,Fundamentus!A:U,17,FALSE)&lt;0.1,"Fraco retorno",IF(VLOOKUP(BM232,Fundamentus!A:U,17,FALSE)&gt;0.1,"Bom retorno","n/a"))</f>
        <v>Fraco retorno</v>
      </c>
      <c r="ES232" s="17" t="str">
        <f>IF(VLOOKUP(BM232,Fundamentus!A:U,16,FALSE)&lt;0.1,"Ineficiente",IF(VLOOKUP(BM232,Fundamentus!A:U,16,FALSE)&gt;0.1,"Eficiente","n/a"))</f>
        <v>Ineficiente</v>
      </c>
      <c r="ET232" s="33" t="str">
        <f>IF(VLOOKUP(BM232,Fundamentus!A:U,16,FALSE)&lt;0.1,"Oper. Ineficiente",IF(VLOOKUP(BM232,Fundamentus!A:U,16,FALSE)&gt;0.1,"Oper.Eficiente","n/a"))</f>
        <v>Oper. Ineficiente</v>
      </c>
      <c r="EU232" s="34">
        <f>VLOOKUP(BM232,Fundamentus!A:U,14,FALSE)</f>
        <v>-0.04</v>
      </c>
      <c r="EV232" s="17" t="str">
        <f>IF(VLOOKUP(BM232,Fundamentus!A:U,21,FALSE)&lt;0,"Negativo",IF(VLOOKUP(BM232,Fundamentus!A:U,21,FALSE)&lt;0.05,"Fraco",IF(VLOOKUP(BM232,Fundamentus!A:U,21,FALSE)&lt;0.1,"Bom",IF(VLOOKUP(BM232,Fundamentus!A:U,21,FALSE)&gt;0.1,"Muito bom","n/a"))))</f>
        <v>Fraco</v>
      </c>
      <c r="EX232" s="29" t="str">
        <f>IF(VLOOKUP(BM232,Fundamentus!A:U,15,FALSE)&gt;1,"Bom",IF(VLOOKUP(BM232,Fundamentus!A:U,15,FALSE)&lt;1,"Ruim","n/a"))</f>
        <v>Bom</v>
      </c>
      <c r="EY232" s="17" t="str">
        <f>IF(VLOOKUP(BM232,Fundamentus!A:U,20,FALSE)&lt;0.5,"Baixa",IF(VLOOKUP(BM232,Fundamentus!A:U,20,FALSE)&lt;1,"Moderada",IF(VLOOKUP(BM232,Fundamentus!A:U,20,FALSE)&lt;2,"Alerta",IF(VLOOKUP(BM232,Fundamentus!A:U,20,FALSE)&gt;2,"Alta","n/a"))))</f>
        <v>Moderada</v>
      </c>
    </row>
    <row r="233" spans="1:155" s="2" customFormat="1" ht="11.25" x14ac:dyDescent="0.2">
      <c r="A233" s="4">
        <v>30.26</v>
      </c>
      <c r="B233" s="4">
        <v>30.39</v>
      </c>
      <c r="C233" s="4">
        <v>30.33</v>
      </c>
      <c r="D233" s="4">
        <v>29.67</v>
      </c>
      <c r="E233" s="4">
        <v>27.25</v>
      </c>
      <c r="F233" s="4">
        <v>28.71</v>
      </c>
      <c r="G233" s="4">
        <v>28.74</v>
      </c>
      <c r="H233" s="4">
        <v>29.05</v>
      </c>
      <c r="I233" s="4">
        <v>28.7</v>
      </c>
      <c r="J233" s="4">
        <v>28.95</v>
      </c>
      <c r="K233" s="4">
        <v>29.47</v>
      </c>
      <c r="L233" s="4">
        <v>28.37</v>
      </c>
      <c r="M233" s="4">
        <v>29.51</v>
      </c>
      <c r="N233" s="4">
        <v>28.25</v>
      </c>
      <c r="O233" s="4">
        <v>29.41</v>
      </c>
      <c r="P233" s="4">
        <v>31.2</v>
      </c>
      <c r="Q233" s="4">
        <v>31.03</v>
      </c>
      <c r="R233" s="4">
        <v>28.54</v>
      </c>
      <c r="S233" s="4">
        <v>28.32</v>
      </c>
      <c r="T233" s="4">
        <v>29.08</v>
      </c>
      <c r="U233" s="4">
        <v>27.31</v>
      </c>
      <c r="V233" s="4">
        <v>26.7</v>
      </c>
      <c r="W233" s="4">
        <v>26.8</v>
      </c>
      <c r="X233" s="4">
        <v>26.62</v>
      </c>
      <c r="Y233" s="4">
        <v>26.91</v>
      </c>
      <c r="Z233" s="4">
        <v>26.2</v>
      </c>
      <c r="AA233" s="4">
        <v>22.72</v>
      </c>
      <c r="AB233" s="4">
        <v>20.96</v>
      </c>
      <c r="AC233" s="4">
        <v>20.6</v>
      </c>
      <c r="AD233" s="4">
        <v>20.18</v>
      </c>
      <c r="AE233" s="4">
        <v>19.52</v>
      </c>
      <c r="AF233" s="4">
        <v>18.989999999999998</v>
      </c>
      <c r="AG233" s="4">
        <v>18.420000000000002</v>
      </c>
      <c r="AH233" s="4">
        <v>18.649999999999999</v>
      </c>
      <c r="AI233" s="4">
        <v>18.03</v>
      </c>
      <c r="AJ233" s="4">
        <v>17.920000000000002</v>
      </c>
      <c r="AK233" s="4">
        <v>17.82</v>
      </c>
      <c r="AL233" s="4">
        <v>18.29</v>
      </c>
      <c r="AM233" s="4">
        <v>18.399999999999999</v>
      </c>
      <c r="AN233" s="4">
        <v>18.28</v>
      </c>
      <c r="AO233" s="4">
        <v>18.55</v>
      </c>
      <c r="AP233" s="4">
        <v>19.72</v>
      </c>
      <c r="AQ233" s="4">
        <v>19.52</v>
      </c>
      <c r="AR233" s="4">
        <v>19.05</v>
      </c>
      <c r="AS233" s="4">
        <v>19.54</v>
      </c>
      <c r="AT233" s="4">
        <v>20.34</v>
      </c>
      <c r="AU233" s="4">
        <v>19.875</v>
      </c>
      <c r="AV233" s="4">
        <v>19.760000000000002</v>
      </c>
      <c r="AW233" s="4">
        <v>20.329999999999998</v>
      </c>
      <c r="AX233" s="4">
        <v>19.37</v>
      </c>
      <c r="AY233" s="12">
        <v>19.97</v>
      </c>
      <c r="AZ233" s="12">
        <v>24.03</v>
      </c>
      <c r="BA233" s="12">
        <v>24.12</v>
      </c>
      <c r="BB233" s="15">
        <v>22.8</v>
      </c>
      <c r="BC233" s="52">
        <v>24.69</v>
      </c>
      <c r="BD233" s="52">
        <v>24.45</v>
      </c>
      <c r="BE233" s="52">
        <v>25.4</v>
      </c>
      <c r="BF233" s="52">
        <v>25.99</v>
      </c>
      <c r="BG233" s="67">
        <v>27.8</v>
      </c>
      <c r="BH233" s="52">
        <v>27.47</v>
      </c>
      <c r="BI233" s="52">
        <v>26.85</v>
      </c>
      <c r="BJ233" s="52">
        <v>27.7</v>
      </c>
      <c r="BK233" s="52">
        <v>27.01</v>
      </c>
      <c r="BL233" s="52" cm="1">
        <f t="array" aca="1" ref="BL233" ca="1">_FV(EC233,"Preço")</f>
        <v>27.01</v>
      </c>
      <c r="BM233" s="69" t="s">
        <v>229</v>
      </c>
      <c r="BN233" s="36" cm="1">
        <f t="array" aca="1" ref="BN233" ca="1">_FV(EC233,"Média de volume",TRUE)</f>
        <v>2155850</v>
      </c>
      <c r="BO233" s="36">
        <v>1416500</v>
      </c>
      <c r="BP233" s="36" cm="1">
        <f t="array" aca="1" ref="BP233" ca="1">_FV(EC233,"Volume")</f>
        <v>1416500</v>
      </c>
      <c r="BQ233" s="24" cm="1">
        <f t="array" aca="1" ref="BQ233" ca="1">_FV(EC233,"Beta")</f>
        <v>1.1223000000000001</v>
      </c>
      <c r="BR233" s="71" cm="1">
        <f t="array" aca="1" ref="BR233" ca="1">_FV(EC233,"Variação (%)",TRUE)</f>
        <v>-2.9529999999999999E-3</v>
      </c>
      <c r="BT233" s="17" cm="1">
        <f t="array" aca="1" ref="BT233" ca="1">_FV(EC233,"Baixo")</f>
        <v>26.61</v>
      </c>
      <c r="BU233" s="17" cm="1">
        <f t="array" aca="1" ref="BU233" ca="1">_FV(EC233,"Alto")</f>
        <v>27.33</v>
      </c>
      <c r="BV233" s="24"/>
      <c r="BW233" s="63">
        <f ca="1">SQRT(22.5*(BL233/VLOOKUP(BM233,Fundamentus!A:U,3,FALSE))*(BL233/VLOOKUP(BM233,Fundamentus!A:U,4,FALSE)))</f>
        <v>22.420278303168942</v>
      </c>
      <c r="BY233" s="62">
        <f t="shared" ca="1" si="241"/>
        <v>0</v>
      </c>
      <c r="BZ233" s="8"/>
      <c r="CA233" s="61">
        <f t="shared" si="242"/>
        <v>17.82</v>
      </c>
      <c r="CB233" s="61">
        <f t="shared" si="243"/>
        <v>31.2</v>
      </c>
      <c r="CC233" s="61">
        <f t="shared" si="244"/>
        <v>24.426746031746024</v>
      </c>
      <c r="CD233" s="14"/>
      <c r="CE233" s="35">
        <f t="shared" si="227"/>
        <v>25.997702703229169</v>
      </c>
      <c r="CF233" s="15">
        <f t="shared" si="245"/>
        <v>27.230999999999995</v>
      </c>
      <c r="CG233" s="35">
        <f t="shared" si="228"/>
        <v>28.46429729677082</v>
      </c>
      <c r="CI233" s="14"/>
      <c r="CJ233" s="17">
        <f t="shared" si="229"/>
        <v>6.56666666666667</v>
      </c>
      <c r="CK233" s="17">
        <f t="shared" si="230"/>
        <v>12.193333333333335</v>
      </c>
      <c r="CL233" s="17">
        <f t="shared" si="231"/>
        <v>19.946666666666669</v>
      </c>
      <c r="CM233" s="38">
        <f t="shared" si="246"/>
        <v>25.573333333333334</v>
      </c>
      <c r="CN233" s="17">
        <f t="shared" si="232"/>
        <v>33.326666666666668</v>
      </c>
      <c r="CO233" s="17">
        <f t="shared" si="233"/>
        <v>38.953333333333333</v>
      </c>
      <c r="CP233" s="17">
        <f t="shared" si="234"/>
        <v>46.706666666666663</v>
      </c>
      <c r="CQ233" s="2" cm="1">
        <f t="array" aca="1" ref="CQ233" ca="1">MAX(_xlfn._xlws.FILTER(CJ233:CP233,CJ233:CP233&lt;BL233))</f>
        <v>25.573333333333334</v>
      </c>
      <c r="CR233" s="2" cm="1">
        <f t="array" aca="1" ref="CR233" ca="1">MIN(_xlfn._xlws.FILTER($CJ233:$CP233,$CJ233:$CP233&gt;BL233))</f>
        <v>33.326666666666668</v>
      </c>
      <c r="CS233" s="16">
        <f t="shared" ca="1" si="248"/>
        <v>0.30318039624608972</v>
      </c>
      <c r="CT233" s="20">
        <f t="shared" ca="1" si="249"/>
        <v>-0.15159019812304486</v>
      </c>
      <c r="CU233" s="20">
        <f t="shared" ca="1" si="250"/>
        <v>-0.10106013208202991</v>
      </c>
      <c r="CV233" s="20">
        <f t="shared" ca="1" si="251"/>
        <v>-6.0636079249217947E-2</v>
      </c>
      <c r="CW233" s="20">
        <f t="shared" ca="1" si="252"/>
        <v>-3.3686710694009969E-2</v>
      </c>
      <c r="CX233" s="20">
        <f t="shared" ca="1" si="253"/>
        <v>-1.7834140955652337E-2</v>
      </c>
      <c r="CY233" s="20">
        <f t="shared" ca="1" si="254"/>
        <v>-9.1872847347299908E-3</v>
      </c>
      <c r="CZ233" s="20">
        <f t="shared" ca="1" si="255"/>
        <v>-4.6643137884013804E-3</v>
      </c>
      <c r="DA233" s="21">
        <f t="shared" ca="1" si="256"/>
        <v>4.6643137884013804E-3</v>
      </c>
      <c r="DB233" s="21">
        <f t="shared" ca="1" si="257"/>
        <v>9.1872847347299908E-3</v>
      </c>
      <c r="DC233" s="21">
        <f t="shared" ca="1" si="258"/>
        <v>1.7834140955652337E-2</v>
      </c>
      <c r="DD233" s="21">
        <f t="shared" ca="1" si="259"/>
        <v>3.3686710694009969E-2</v>
      </c>
      <c r="DE233" s="21">
        <f t="shared" ca="1" si="260"/>
        <v>6.0636079249217947E-2</v>
      </c>
      <c r="DF233" s="21">
        <f t="shared" ca="1" si="261"/>
        <v>0.10106013208202991</v>
      </c>
      <c r="DG233" s="21">
        <f t="shared" ca="1" si="262"/>
        <v>0.15159019812304486</v>
      </c>
      <c r="DI233" s="16" cm="1">
        <f t="array" aca="1" ref="DI233" ca="1">MAX(_xlfn._xlws.FILTER(CT233:DG233,CT233:DG233&lt;BR233))</f>
        <v>-4.6643137884013804E-3</v>
      </c>
      <c r="DJ233" s="16" cm="1">
        <f t="array" aca="1" ref="DJ233" ca="1">MIN(_xlfn._xlws.FILTER(CT233:DG233,CT233:DG233&gt;BR233))</f>
        <v>4.6643137884013804E-3</v>
      </c>
      <c r="DK233" s="2" cm="1">
        <f t="array" aca="1" ref="DK233" ca="1">_FV(EC233,"Fechamento anterior",TRUE)</f>
        <v>27.09</v>
      </c>
      <c r="DL233" s="28">
        <f t="shared" ca="1" si="235"/>
        <v>0.18343475952106875</v>
      </c>
      <c r="DM233" s="15">
        <f t="shared" ca="1" si="263"/>
        <v>26.963643739472207</v>
      </c>
      <c r="DN233" s="15">
        <f t="shared" ca="1" si="264"/>
        <v>27.216356260527792</v>
      </c>
      <c r="DO233" s="9"/>
      <c r="DP233" s="9"/>
      <c r="DQ233" s="9"/>
      <c r="DR233" s="89">
        <v>1.1526449660323901E-2</v>
      </c>
      <c r="DS233" s="89">
        <v>8.6727266230153047E-3</v>
      </c>
      <c r="DT233" s="89">
        <v>4.5229709463286104E-3</v>
      </c>
      <c r="DU233" s="89">
        <v>9.3286275768027609E-3</v>
      </c>
      <c r="DV233" s="89">
        <f t="shared" ca="1" si="236"/>
        <v>9.3286275768027609E-3</v>
      </c>
      <c r="DW233" s="72">
        <f t="shared" ca="1" si="237"/>
        <v>-0.17919442504142605</v>
      </c>
      <c r="DX233" s="37"/>
      <c r="DY233" s="35">
        <f t="shared" si="247"/>
        <v>0.61664864838541233</v>
      </c>
      <c r="DZ233" s="56"/>
      <c r="EA233" s="56"/>
      <c r="EC233" s="2" t="e" vm="235">
        <v>#VALUE!</v>
      </c>
      <c r="EE233" s="10" cm="1">
        <f t="array" aca="1" ref="EE233" ca="1">_FV(EC233,"Ações em circulação",TRUE)</f>
        <v>633420800</v>
      </c>
      <c r="EF233" s="18">
        <f>VLOOKUP(BM233,Fundamentus!A:U,5,FALSE)</f>
        <v>2.63</v>
      </c>
      <c r="EG233" s="2">
        <f t="shared" ca="1" si="238"/>
        <v>6505207531.5589361</v>
      </c>
      <c r="EH233" s="17">
        <v>778022820.77444875</v>
      </c>
      <c r="EI233" s="17">
        <f t="shared" ca="1" si="239"/>
        <v>778022820.77444875</v>
      </c>
      <c r="EK233" s="16">
        <f t="shared" ca="1" si="226"/>
        <v>0</v>
      </c>
      <c r="EL233" s="32" t="str">
        <f>IF(VLOOKUP(BM233,Fundamentus!A:U,3,FALSE)&lt;15,"Bom",IF(VLOOKUP(BM233,Fundamentus!A:U,3,FALSE)&gt;15,"Ruim","n/a"))</f>
        <v>Ruim</v>
      </c>
      <c r="EM233" s="28" t="str">
        <f>IF(VLOOKUP(BM233,Fundamentus!A:U,4,FALSE)&lt;1,"Baixo",IF(VLOOKUP(BM233,Fundamentus!A:U,4,FALSE)&lt;1.5,"Moderado",IF(VLOOKUP(BM233,Fundamentus!A:U,4,FALSE)&gt;1.5,"Alto","n/a")))</f>
        <v>n/a</v>
      </c>
      <c r="EN233" s="17" t="str">
        <f>IF(VLOOKUP(BM233,Fundamentus!A:U,8,FALSE)&lt;0,"Risco elevado",IF(VLOOKUP(BM233,Fundamentus!A:U,8,FALSE)&lt;1,"Saudável",IF(VLOOKUP(BM233,Fundamentus!A:U,8,FALSE)&lt;3,"Estável",IF(VLOOKUP(BM233,Fundamentus!A:U,8,FALSE)&gt;3,"Alerta","n/a"))))</f>
        <v>Alerta</v>
      </c>
      <c r="EO233" s="28" t="str">
        <f t="shared" si="240"/>
        <v>Bom</v>
      </c>
      <c r="EP233" s="17" t="str">
        <f>IF(VLOOKUP(BM233,Fundamentus!A:U,12,FALSE)&lt;2,"Subvalorizada",IF(VLOOKUP(BM233,Fundamentus!A:U,12,FALSE)&lt;6,"Muita barata",IF(VLOOKUP(BM233,Fundamentus!A:U,12,FALSE)&lt;6,"Barata",IF(VLOOKUP(BM233,Fundamentus!A:U,12,FALSE)&lt;8,"Atrativa",IF(VLOOKUP(BM233,Fundamentus!A:U,12,FALSE)&gt;8,"Supervalorizada","n/a")))))</f>
        <v>Supervalorizada</v>
      </c>
      <c r="ER233" s="17" t="str">
        <f>IF(VLOOKUP(BM233,Fundamentus!A:U,17,FALSE)&lt;0.1,"Fraco retorno",IF(VLOOKUP(BM233,Fundamentus!A:U,17,FALSE)&gt;0.1,"Bom retorno","n/a"))</f>
        <v>Fraco retorno</v>
      </c>
      <c r="ES233" s="17" t="str">
        <f>IF(VLOOKUP(BM233,Fundamentus!A:U,16,FALSE)&lt;0.1,"Ineficiente",IF(VLOOKUP(BM233,Fundamentus!A:U,16,FALSE)&gt;0.1,"Eficiente","n/a"))</f>
        <v>Ineficiente</v>
      </c>
      <c r="ET233" s="33" t="str">
        <f>IF(VLOOKUP(BM233,Fundamentus!A:U,16,FALSE)&lt;0.1,"Oper. Ineficiente",IF(VLOOKUP(BM233,Fundamentus!A:U,16,FALSE)&gt;0.1,"Oper.Eficiente","n/a"))</f>
        <v>Oper. Ineficiente</v>
      </c>
      <c r="EU233" s="34">
        <f>VLOOKUP(BM233,Fundamentus!A:U,14,FALSE)</f>
        <v>0.1196</v>
      </c>
      <c r="EV233" s="17" t="str">
        <f>IF(VLOOKUP(BM233,Fundamentus!A:U,21,FALSE)&lt;0,"Negativo",IF(VLOOKUP(BM233,Fundamentus!A:U,21,FALSE)&lt;0.05,"Fraco",IF(VLOOKUP(BM233,Fundamentus!A:U,21,FALSE)&lt;0.1,"Bom",IF(VLOOKUP(BM233,Fundamentus!A:U,21,FALSE)&gt;0.1,"Muito bom","n/a"))))</f>
        <v>Muito bom</v>
      </c>
      <c r="EX233" s="29" t="str">
        <f>IF(VLOOKUP(BM233,Fundamentus!A:U,15,FALSE)&gt;1,"Bom",IF(VLOOKUP(BM233,Fundamentus!A:U,15,FALSE)&lt;1,"Ruim","n/a"))</f>
        <v>Bom</v>
      </c>
      <c r="EY233" s="17" t="str">
        <f>IF(VLOOKUP(BM233,Fundamentus!A:U,20,FALSE)&lt;0.5,"Baixa",IF(VLOOKUP(BM233,Fundamentus!A:U,20,FALSE)&lt;1,"Moderada",IF(VLOOKUP(BM233,Fundamentus!A:U,20,FALSE)&lt;2,"Alerta",IF(VLOOKUP(BM233,Fundamentus!A:U,20,FALSE)&gt;2,"Alta","n/a"))))</f>
        <v>Moderada</v>
      </c>
    </row>
    <row r="234" spans="1:155" s="2" customFormat="1" ht="11.25" x14ac:dyDescent="0.2">
      <c r="A234" s="4">
        <v>2.48</v>
      </c>
      <c r="B234" s="4">
        <v>2.46</v>
      </c>
      <c r="C234" s="4">
        <v>2.75</v>
      </c>
      <c r="D234" s="4">
        <v>2.67</v>
      </c>
      <c r="E234" s="4">
        <v>2.66</v>
      </c>
      <c r="F234" s="4">
        <v>2.1800000000000002</v>
      </c>
      <c r="G234" s="4">
        <v>2.16</v>
      </c>
      <c r="H234" s="4">
        <v>2.06</v>
      </c>
      <c r="I234" s="4">
        <v>1.98</v>
      </c>
      <c r="J234" s="4">
        <v>2.0299999999999998</v>
      </c>
      <c r="K234" s="4">
        <v>2.2400000000000002</v>
      </c>
      <c r="L234" s="4">
        <v>1.89</v>
      </c>
      <c r="M234" s="4">
        <v>1.83</v>
      </c>
      <c r="N234" s="4">
        <v>1.88</v>
      </c>
      <c r="O234" s="4">
        <v>1.87</v>
      </c>
      <c r="P234" s="4">
        <v>1.71</v>
      </c>
      <c r="Q234" s="4">
        <v>1.79</v>
      </c>
      <c r="R234" s="4">
        <v>1.69</v>
      </c>
      <c r="S234" s="4">
        <v>1.47</v>
      </c>
      <c r="T234" s="4">
        <v>1.39</v>
      </c>
      <c r="U234" s="4">
        <v>1.36</v>
      </c>
      <c r="V234" s="4">
        <v>1.38</v>
      </c>
      <c r="W234" s="4">
        <v>1.3</v>
      </c>
      <c r="X234" s="4">
        <v>1.26</v>
      </c>
      <c r="Y234" s="4">
        <v>1.22</v>
      </c>
      <c r="Z234" s="4">
        <v>1.25</v>
      </c>
      <c r="AA234" s="4">
        <v>1.22</v>
      </c>
      <c r="AB234" s="4">
        <v>1.31</v>
      </c>
      <c r="AC234" s="4">
        <v>1.1599999999999999</v>
      </c>
      <c r="AD234" s="4">
        <v>1.1399999999999999</v>
      </c>
      <c r="AE234" s="4">
        <v>1.23</v>
      </c>
      <c r="AF234" s="4">
        <v>1.22</v>
      </c>
      <c r="AG234" s="4">
        <v>1.18</v>
      </c>
      <c r="AH234" s="4">
        <v>1.1000000000000001</v>
      </c>
      <c r="AI234" s="4">
        <v>1.06</v>
      </c>
      <c r="AJ234" s="4">
        <v>1.04</v>
      </c>
      <c r="AK234" s="4">
        <v>1.02</v>
      </c>
      <c r="AL234" s="4">
        <v>1.1100000000000001</v>
      </c>
      <c r="AM234" s="4">
        <v>1.22</v>
      </c>
      <c r="AN234" s="4">
        <v>1.38</v>
      </c>
      <c r="AO234" s="4">
        <v>1.23</v>
      </c>
      <c r="AP234" s="4">
        <v>1.39</v>
      </c>
      <c r="AQ234" s="4">
        <v>1.29</v>
      </c>
      <c r="AR234" s="4">
        <v>1.25</v>
      </c>
      <c r="AS234" s="4">
        <v>1.23</v>
      </c>
      <c r="AT234" s="4">
        <v>1.32</v>
      </c>
      <c r="AU234" s="4">
        <v>1.1200000000000001</v>
      </c>
      <c r="AV234" s="4">
        <v>1.04</v>
      </c>
      <c r="AW234" s="4">
        <v>1.04</v>
      </c>
      <c r="AX234" s="4">
        <v>1.1000000000000001</v>
      </c>
      <c r="AY234" s="12">
        <v>1.1399999999999999</v>
      </c>
      <c r="AZ234" s="12">
        <v>1.24</v>
      </c>
      <c r="BA234" s="12">
        <v>1.22</v>
      </c>
      <c r="BB234" s="15">
        <v>1.21</v>
      </c>
      <c r="BC234" s="52">
        <v>1.08</v>
      </c>
      <c r="BD234" s="52">
        <v>1.18</v>
      </c>
      <c r="BE234" s="52">
        <v>1.19</v>
      </c>
      <c r="BF234" s="52">
        <v>1.25</v>
      </c>
      <c r="BG234" s="67">
        <v>1.2</v>
      </c>
      <c r="BH234" s="52">
        <v>1.1499999999999999</v>
      </c>
      <c r="BI234" s="52">
        <v>1.17</v>
      </c>
      <c r="BJ234" s="52">
        <v>1.1299999999999999</v>
      </c>
      <c r="BK234" s="52">
        <v>1.0900000000000001</v>
      </c>
      <c r="BL234" s="52" cm="1">
        <f t="array" aca="1" ref="BL234" ca="1">_FV(EC234,"Preço")</f>
        <v>1.0900000000000001</v>
      </c>
      <c r="BM234" s="69" t="s">
        <v>230</v>
      </c>
      <c r="BN234" s="36" cm="1">
        <f t="array" aca="1" ref="BN234" ca="1">_FV(EC234,"Média de volume",TRUE)</f>
        <v>1144180</v>
      </c>
      <c r="BO234" s="36">
        <v>954000</v>
      </c>
      <c r="BP234" s="36" cm="1">
        <f t="array" aca="1" ref="BP234" ca="1">_FV(EC234,"Volume")</f>
        <v>954000</v>
      </c>
      <c r="BQ234" s="24" cm="1">
        <f t="array" aca="1" ref="BQ234" ca="1">_FV(EC234,"Beta")</f>
        <v>1.7839</v>
      </c>
      <c r="BR234" s="71" cm="1">
        <f t="array" aca="1" ref="BR234" ca="1">_FV(EC234,"Variação (%)",TRUE)</f>
        <v>2.8302000000000001E-2</v>
      </c>
      <c r="BT234" s="17" cm="1">
        <f t="array" aca="1" ref="BT234" ca="1">_FV(EC234,"Baixo")</f>
        <v>1.04</v>
      </c>
      <c r="BU234" s="17" cm="1">
        <f t="array" aca="1" ref="BU234" ca="1">_FV(EC234,"Alto")</f>
        <v>1.0900000000000001</v>
      </c>
      <c r="BV234" s="24"/>
      <c r="BW234" s="63" t="e">
        <f ca="1">SQRT(22.5*(BL234/VLOOKUP(BM234,Fundamentus!A:U,3,FALSE))*(BL234/VLOOKUP(BM234,Fundamentus!A:U,4,FALSE)))</f>
        <v>#NUM!</v>
      </c>
      <c r="BY234" s="62">
        <f t="shared" ca="1" si="241"/>
        <v>0</v>
      </c>
      <c r="BZ234" s="8"/>
      <c r="CA234" s="61">
        <f t="shared" si="242"/>
        <v>1.02</v>
      </c>
      <c r="CB234" s="61">
        <f t="shared" si="243"/>
        <v>2.75</v>
      </c>
      <c r="CC234" s="61">
        <f t="shared" si="244"/>
        <v>1.4700000000000002</v>
      </c>
      <c r="CD234" s="14"/>
      <c r="CE234" s="35">
        <f t="shared" si="227"/>
        <v>1.022183171004625</v>
      </c>
      <c r="CF234" s="15">
        <f t="shared" si="245"/>
        <v>1.1239999999999668</v>
      </c>
      <c r="CG234" s="35">
        <f t="shared" si="228"/>
        <v>1.2258168289953086</v>
      </c>
      <c r="CI234" s="14"/>
      <c r="CJ234" s="17">
        <f t="shared" si="229"/>
        <v>-1.2133333333333329</v>
      </c>
      <c r="CK234" s="17">
        <f t="shared" si="230"/>
        <v>-9.6666666666666456E-2</v>
      </c>
      <c r="CL234" s="17">
        <f t="shared" si="231"/>
        <v>0.51666666666666705</v>
      </c>
      <c r="CM234" s="38">
        <f t="shared" si="246"/>
        <v>1.6333333333333335</v>
      </c>
      <c r="CN234" s="17">
        <f t="shared" si="232"/>
        <v>2.246666666666667</v>
      </c>
      <c r="CO234" s="17">
        <f t="shared" si="233"/>
        <v>3.3633333333333333</v>
      </c>
      <c r="CP234" s="17">
        <f t="shared" si="234"/>
        <v>3.976666666666667</v>
      </c>
      <c r="CQ234" s="2" cm="1">
        <f t="array" aca="1" ref="CQ234" ca="1">MAX(_xlfn._xlws.FILTER(CJ234:CP234,CJ234:CP234&lt;BL234))</f>
        <v>0.51666666666666705</v>
      </c>
      <c r="CR234" s="2" cm="1">
        <f t="array" aca="1" ref="CR234" ca="1">MIN(_xlfn._xlws.FILTER($CJ234:$CP234,$CJ234:$CP234&gt;BL234))</f>
        <v>1.6333333333333335</v>
      </c>
      <c r="CS234" s="16">
        <f t="shared" ca="1" si="248"/>
        <v>2.1612903225806432</v>
      </c>
      <c r="CT234" s="20">
        <f t="shared" ca="1" si="249"/>
        <v>-1.0806451612903216</v>
      </c>
      <c r="CU234" s="20">
        <f t="shared" ca="1" si="250"/>
        <v>-0.72043010752688108</v>
      </c>
      <c r="CV234" s="20">
        <f t="shared" ca="1" si="251"/>
        <v>-0.43225806451612864</v>
      </c>
      <c r="CW234" s="20">
        <f t="shared" ca="1" si="252"/>
        <v>-0.24014336917562704</v>
      </c>
      <c r="CX234" s="20">
        <f t="shared" ca="1" si="253"/>
        <v>-0.1271347248576849</v>
      </c>
      <c r="CY234" s="20">
        <f t="shared" ca="1" si="254"/>
        <v>-6.5493646138807371E-2</v>
      </c>
      <c r="CZ234" s="20">
        <f t="shared" ca="1" si="255"/>
        <v>-3.3250620347394511E-2</v>
      </c>
      <c r="DA234" s="21">
        <f t="shared" ca="1" si="256"/>
        <v>3.3250620347394511E-2</v>
      </c>
      <c r="DB234" s="21">
        <f t="shared" ca="1" si="257"/>
        <v>6.5493646138807371E-2</v>
      </c>
      <c r="DC234" s="21">
        <f t="shared" ca="1" si="258"/>
        <v>0.1271347248576849</v>
      </c>
      <c r="DD234" s="21">
        <f t="shared" ca="1" si="259"/>
        <v>0.24014336917562704</v>
      </c>
      <c r="DE234" s="21">
        <f t="shared" ca="1" si="260"/>
        <v>0.43225806451612864</v>
      </c>
      <c r="DF234" s="21">
        <f t="shared" ca="1" si="261"/>
        <v>0.72043010752688108</v>
      </c>
      <c r="DG234" s="21">
        <f t="shared" ca="1" si="262"/>
        <v>1.0806451612903216</v>
      </c>
      <c r="DI234" s="16" cm="1">
        <f t="array" aca="1" ref="DI234" ca="1">MAX(_xlfn._xlws.FILTER(CT234:DG234,CT234:DG234&lt;BR234))</f>
        <v>-3.3250620347394511E-2</v>
      </c>
      <c r="DJ234" s="16" cm="1">
        <f t="array" aca="1" ref="DJ234" ca="1">MIN(_xlfn._xlws.FILTER(CT234:DG234,CT234:DG234&gt;BR234))</f>
        <v>3.3250620347394511E-2</v>
      </c>
      <c r="DK234" s="2" cm="1">
        <f t="array" aca="1" ref="DK234" ca="1">_FV(EC234,"Fechamento anterior",TRUE)</f>
        <v>1.06</v>
      </c>
      <c r="DL234" s="28">
        <f t="shared" ca="1" si="235"/>
        <v>0.92558434243874932</v>
      </c>
      <c r="DM234" s="15">
        <f t="shared" ca="1" si="263"/>
        <v>1.0247543424317618</v>
      </c>
      <c r="DN234" s="15">
        <f t="shared" ca="1" si="264"/>
        <v>1.0952456575682383</v>
      </c>
      <c r="DO234" s="9"/>
      <c r="DP234" s="9"/>
      <c r="DQ234" s="9"/>
      <c r="DR234" s="89">
        <v>9.2597968069666151E-2</v>
      </c>
      <c r="DS234" s="89">
        <v>2.8954083391953236E-2</v>
      </c>
      <c r="DT234" s="89">
        <v>6.6501240694789021E-2</v>
      </c>
      <c r="DU234" s="89">
        <v>6.6501240694789021E-2</v>
      </c>
      <c r="DV234" s="89">
        <f t="shared" ca="1" si="236"/>
        <v>6.6501240694789021E-2</v>
      </c>
      <c r="DW234" s="72">
        <f t="shared" ca="1" si="237"/>
        <v>-0.33393300828021505</v>
      </c>
      <c r="DX234" s="37"/>
      <c r="DY234" s="35">
        <f t="shared" si="247"/>
        <v>5.0908414497670869E-2</v>
      </c>
      <c r="DZ234" s="56"/>
      <c r="EA234" s="56"/>
      <c r="EC234" s="2" t="e" vm="236">
        <v>#VALUE!</v>
      </c>
      <c r="EE234" s="10" cm="1">
        <f t="array" aca="1" ref="EE234" ca="1">_FV(EC234,"Ações em circulação",TRUE)</f>
        <v>205018000</v>
      </c>
      <c r="EF234" s="18">
        <f>VLOOKUP(BM234,Fundamentus!A:U,5,FALSE)</f>
        <v>0.93100000000000005</v>
      </c>
      <c r="EG234" s="2">
        <f t="shared" ca="1" si="238"/>
        <v>240031815.25241679</v>
      </c>
      <c r="EH234" s="17">
        <v>-18914507.041890442</v>
      </c>
      <c r="EI234" s="17">
        <f t="shared" ca="1" si="239"/>
        <v>-18914507.041890442</v>
      </c>
      <c r="EK234" s="16">
        <f t="shared" ca="1" si="226"/>
        <v>0</v>
      </c>
      <c r="EL234" s="32" t="str">
        <f>IF(VLOOKUP(BM234,Fundamentus!A:U,3,FALSE)&lt;15,"Bom",IF(VLOOKUP(BM234,Fundamentus!A:U,3,FALSE)&gt;15,"Ruim","n/a"))</f>
        <v>Bom</v>
      </c>
      <c r="EM234" s="28" t="str">
        <f>IF(VLOOKUP(BM234,Fundamentus!A:U,4,FALSE)&lt;1,"Baixo",IF(VLOOKUP(BM234,Fundamentus!A:U,4,FALSE)&lt;1.5,"Moderado",IF(VLOOKUP(BM234,Fundamentus!A:U,4,FALSE)&gt;1.5,"Alto","n/a")))</f>
        <v>Baixo</v>
      </c>
      <c r="EN234" s="17" t="str">
        <f>IF(VLOOKUP(BM234,Fundamentus!A:U,8,FALSE)&lt;0,"Risco elevado",IF(VLOOKUP(BM234,Fundamentus!A:U,8,FALSE)&lt;1,"Saudável",IF(VLOOKUP(BM234,Fundamentus!A:U,8,FALSE)&lt;3,"Estável",IF(VLOOKUP(BM234,Fundamentus!A:U,8,FALSE)&gt;3,"Alerta","n/a"))))</f>
        <v>Estável</v>
      </c>
      <c r="EO234" s="28" t="str">
        <f t="shared" si="240"/>
        <v>Ruim</v>
      </c>
      <c r="EP234" s="17" t="str">
        <f>IF(VLOOKUP(BM234,Fundamentus!A:U,12,FALSE)&lt;2,"Subvalorizada",IF(VLOOKUP(BM234,Fundamentus!A:U,12,FALSE)&lt;6,"Muita barata",IF(VLOOKUP(BM234,Fundamentus!A:U,12,FALSE)&lt;6,"Barata",IF(VLOOKUP(BM234,Fundamentus!A:U,12,FALSE)&lt;8,"Atrativa",IF(VLOOKUP(BM234,Fundamentus!A:U,12,FALSE)&gt;8,"Supervalorizada","n/a")))))</f>
        <v>Supervalorizada</v>
      </c>
      <c r="ER234" s="17" t="str">
        <f>IF(VLOOKUP(BM234,Fundamentus!A:U,17,FALSE)&lt;0.1,"Fraco retorno",IF(VLOOKUP(BM234,Fundamentus!A:U,17,FALSE)&gt;0.1,"Bom retorno","n/a"))</f>
        <v>Fraco retorno</v>
      </c>
      <c r="ES234" s="17" t="str">
        <f>IF(VLOOKUP(BM234,Fundamentus!A:U,16,FALSE)&lt;0.1,"Ineficiente",IF(VLOOKUP(BM234,Fundamentus!A:U,16,FALSE)&gt;0.1,"Eficiente","n/a"))</f>
        <v>Ineficiente</v>
      </c>
      <c r="ET234" s="33" t="str">
        <f>IF(VLOOKUP(BM234,Fundamentus!A:U,16,FALSE)&lt;0.1,"Oper. Ineficiente",IF(VLOOKUP(BM234,Fundamentus!A:U,16,FALSE)&gt;0.1,"Oper.Eficiente","n/a"))</f>
        <v>Oper. Ineficiente</v>
      </c>
      <c r="EU234" s="34">
        <f>VLOOKUP(BM234,Fundamentus!A:U,14,FALSE)</f>
        <v>-7.8799999999999995E-2</v>
      </c>
      <c r="EV234" s="17" t="str">
        <f>IF(VLOOKUP(BM234,Fundamentus!A:U,21,FALSE)&lt;0,"Negativo",IF(VLOOKUP(BM234,Fundamentus!A:U,21,FALSE)&lt;0.05,"Fraco",IF(VLOOKUP(BM234,Fundamentus!A:U,21,FALSE)&lt;0.1,"Bom",IF(VLOOKUP(BM234,Fundamentus!A:U,21,FALSE)&gt;0.1,"Muito bom","n/a"))))</f>
        <v>Muito bom</v>
      </c>
      <c r="EX234" s="29" t="str">
        <f>IF(VLOOKUP(BM234,Fundamentus!A:U,15,FALSE)&gt;1,"Bom",IF(VLOOKUP(BM234,Fundamentus!A:U,15,FALSE)&lt;1,"Ruim","n/a"))</f>
        <v>Bom</v>
      </c>
      <c r="EY234" s="17" t="str">
        <f>IF(VLOOKUP(BM234,Fundamentus!A:U,20,FALSE)&lt;0.5,"Baixa",IF(VLOOKUP(BM234,Fundamentus!A:U,20,FALSE)&lt;1,"Moderada",IF(VLOOKUP(BM234,Fundamentus!A:U,20,FALSE)&lt;2,"Alerta",IF(VLOOKUP(BM234,Fundamentus!A:U,20,FALSE)&gt;2,"Alta","n/a"))))</f>
        <v>Baixa</v>
      </c>
    </row>
    <row r="235" spans="1:155" s="2" customFormat="1" ht="11.25" x14ac:dyDescent="0.2">
      <c r="A235" s="4">
        <v>3.23</v>
      </c>
      <c r="B235" s="4">
        <v>3.07</v>
      </c>
      <c r="C235" s="4">
        <v>2.97</v>
      </c>
      <c r="D235" s="4">
        <v>2.84</v>
      </c>
      <c r="E235" s="4">
        <v>2.85</v>
      </c>
      <c r="F235" s="4">
        <v>2.7</v>
      </c>
      <c r="G235" s="4">
        <v>2.8</v>
      </c>
      <c r="H235" s="4">
        <v>2.89</v>
      </c>
      <c r="I235" s="4">
        <v>2.94</v>
      </c>
      <c r="J235" s="4">
        <v>3.08</v>
      </c>
      <c r="K235" s="4">
        <v>3.08</v>
      </c>
      <c r="L235" s="4">
        <v>3.06</v>
      </c>
      <c r="M235" s="4">
        <v>3.06</v>
      </c>
      <c r="N235" s="4">
        <v>2.95</v>
      </c>
      <c r="O235" s="4">
        <v>3.29</v>
      </c>
      <c r="P235" s="4">
        <v>3.3</v>
      </c>
      <c r="Q235" s="4">
        <v>3.27</v>
      </c>
      <c r="R235" s="4">
        <v>3.21</v>
      </c>
      <c r="S235" s="4">
        <v>3.04</v>
      </c>
      <c r="T235" s="4">
        <v>3.09</v>
      </c>
      <c r="U235" s="4">
        <v>3.14</v>
      </c>
      <c r="V235" s="4">
        <v>3.16</v>
      </c>
      <c r="W235" s="4">
        <v>3.05</v>
      </c>
      <c r="X235" s="4">
        <v>2.95</v>
      </c>
      <c r="Y235" s="4">
        <v>2.86</v>
      </c>
      <c r="Z235" s="4">
        <v>2.83</v>
      </c>
      <c r="AA235" s="4">
        <v>2.85</v>
      </c>
      <c r="AB235" s="4">
        <v>2.71</v>
      </c>
      <c r="AC235" s="4">
        <v>2.42</v>
      </c>
      <c r="AD235" s="4">
        <v>2.6</v>
      </c>
      <c r="AE235" s="4">
        <v>2.64</v>
      </c>
      <c r="AF235" s="4">
        <v>2.46</v>
      </c>
      <c r="AG235" s="4">
        <v>2.4500000000000002</v>
      </c>
      <c r="AH235" s="4">
        <v>2.1800000000000002</v>
      </c>
      <c r="AI235" s="4">
        <v>2.12</v>
      </c>
      <c r="AJ235" s="4">
        <v>2.13</v>
      </c>
      <c r="AK235" s="4">
        <v>2.02</v>
      </c>
      <c r="AL235" s="4">
        <v>2.04</v>
      </c>
      <c r="AM235" s="4">
        <v>1.89</v>
      </c>
      <c r="AN235" s="4">
        <v>1.9</v>
      </c>
      <c r="AO235" s="4">
        <v>1.76</v>
      </c>
      <c r="AP235" s="4">
        <v>1.77</v>
      </c>
      <c r="AQ235" s="4">
        <v>1.73</v>
      </c>
      <c r="AR235" s="4">
        <v>1.65</v>
      </c>
      <c r="AS235" s="4">
        <v>1.74</v>
      </c>
      <c r="AT235" s="4">
        <v>1.78</v>
      </c>
      <c r="AU235" s="4">
        <v>1.845</v>
      </c>
      <c r="AV235" s="4">
        <v>1.86</v>
      </c>
      <c r="AW235" s="4">
        <v>1.74</v>
      </c>
      <c r="AX235" s="4">
        <v>1.76</v>
      </c>
      <c r="AY235" s="12">
        <v>1.76</v>
      </c>
      <c r="AZ235" s="12">
        <v>1.8</v>
      </c>
      <c r="BA235" s="12">
        <v>1.81</v>
      </c>
      <c r="BB235" s="15">
        <v>1.82</v>
      </c>
      <c r="BC235" s="52">
        <v>1.7</v>
      </c>
      <c r="BD235" s="52">
        <v>2.14</v>
      </c>
      <c r="BE235" s="52">
        <v>1.94</v>
      </c>
      <c r="BF235" s="52">
        <v>1.98</v>
      </c>
      <c r="BG235" s="67">
        <v>1.83</v>
      </c>
      <c r="BH235" s="52">
        <v>1.72</v>
      </c>
      <c r="BI235" s="52">
        <v>1.63</v>
      </c>
      <c r="BJ235" s="52">
        <v>1.71</v>
      </c>
      <c r="BK235" s="52">
        <v>1.54</v>
      </c>
      <c r="BL235" s="52" cm="1">
        <f t="array" aca="1" ref="BL235" ca="1">_FV(EC235,"Preço")</f>
        <v>1.54</v>
      </c>
      <c r="BM235" s="69" t="s">
        <v>231</v>
      </c>
      <c r="BN235" s="36" cm="1">
        <f t="array" aca="1" ref="BN235" ca="1">_FV(EC235,"Média de volume",TRUE)</f>
        <v>11193380</v>
      </c>
      <c r="BO235" s="36">
        <v>11523000</v>
      </c>
      <c r="BP235" s="36" cm="1">
        <f t="array" aca="1" ref="BP235" ca="1">_FV(EC235,"Volume")</f>
        <v>11523000</v>
      </c>
      <c r="BQ235" s="24" cm="1">
        <f t="array" aca="1" ref="BQ235" ca="1">_FV(EC235,"Beta")</f>
        <v>1.1595</v>
      </c>
      <c r="BR235" s="71" cm="1">
        <f t="array" aca="1" ref="BR235" ca="1">_FV(EC235,"Variação (%)",TRUE)</f>
        <v>-2.5316000000000002E-2</v>
      </c>
      <c r="BT235" s="17" cm="1">
        <f t="array" aca="1" ref="BT235" ca="1">_FV(EC235,"Baixo")</f>
        <v>1.52</v>
      </c>
      <c r="BU235" s="17" cm="1">
        <f t="array" aca="1" ref="BU235" ca="1">_FV(EC235,"Alto")</f>
        <v>1.57</v>
      </c>
      <c r="BV235" s="24"/>
      <c r="BW235" s="63" t="e">
        <f ca="1">SQRT(22.5*(BL235/VLOOKUP(BM235,Fundamentus!A:U,3,FALSE))*(BL235/VLOOKUP(BM235,Fundamentus!A:U,4,FALSE)))</f>
        <v>#NUM!</v>
      </c>
      <c r="BY235" s="62">
        <f t="shared" ca="1" si="241"/>
        <v>0</v>
      </c>
      <c r="BZ235" s="8"/>
      <c r="CA235" s="61">
        <f t="shared" si="242"/>
        <v>1.54</v>
      </c>
      <c r="CB235" s="61">
        <f t="shared" si="243"/>
        <v>3.3</v>
      </c>
      <c r="CC235" s="61">
        <f t="shared" si="244"/>
        <v>2.4148412698412693</v>
      </c>
      <c r="CD235" s="14"/>
      <c r="CE235" s="35">
        <f t="shared" si="227"/>
        <v>1.345397443193435</v>
      </c>
      <c r="CF235" s="15">
        <f t="shared" si="245"/>
        <v>1.6270000000000095</v>
      </c>
      <c r="CG235" s="35">
        <f t="shared" si="228"/>
        <v>1.9086025568065841</v>
      </c>
      <c r="CI235" s="14"/>
      <c r="CJ235" s="17">
        <f t="shared" si="229"/>
        <v>-0.69333333333333336</v>
      </c>
      <c r="CK235" s="17">
        <f t="shared" si="230"/>
        <v>0.42333333333333334</v>
      </c>
      <c r="CL235" s="17">
        <f t="shared" si="231"/>
        <v>1.0666666666666664</v>
      </c>
      <c r="CM235" s="38">
        <f t="shared" si="246"/>
        <v>2.1833333333333331</v>
      </c>
      <c r="CN235" s="17">
        <f t="shared" si="232"/>
        <v>2.8266666666666662</v>
      </c>
      <c r="CO235" s="17">
        <f t="shared" si="233"/>
        <v>3.9433333333333329</v>
      </c>
      <c r="CP235" s="17">
        <f t="shared" si="234"/>
        <v>4.586666666666666</v>
      </c>
      <c r="CQ235" s="2" cm="1">
        <f t="array" aca="1" ref="CQ235" ca="1">MAX(_xlfn._xlws.FILTER(CJ235:CP235,CJ235:CP235&lt;BL235))</f>
        <v>1.0666666666666664</v>
      </c>
      <c r="CR235" s="2" cm="1">
        <f t="array" aca="1" ref="CR235" ca="1">MIN(_xlfn._xlws.FILTER($CJ235:$CP235,$CJ235:$CP235&gt;BL235))</f>
        <v>2.1833333333333331</v>
      </c>
      <c r="CS235" s="16">
        <f t="shared" ca="1" si="248"/>
        <v>1.0468750000000004</v>
      </c>
      <c r="CT235" s="20">
        <f t="shared" ca="1" si="249"/>
        <v>-0.52343750000000022</v>
      </c>
      <c r="CU235" s="20">
        <f t="shared" ca="1" si="250"/>
        <v>-0.34895833333333348</v>
      </c>
      <c r="CV235" s="20">
        <f t="shared" ca="1" si="251"/>
        <v>-0.20937500000000009</v>
      </c>
      <c r="CW235" s="20">
        <f t="shared" ca="1" si="252"/>
        <v>-0.11631944444444449</v>
      </c>
      <c r="CX235" s="20">
        <f t="shared" ca="1" si="253"/>
        <v>-6.1580882352941201E-2</v>
      </c>
      <c r="CY235" s="20">
        <f t="shared" ca="1" si="254"/>
        <v>-3.1723484848484862E-2</v>
      </c>
      <c r="CZ235" s="20">
        <f t="shared" ca="1" si="255"/>
        <v>-1.6105769230769236E-2</v>
      </c>
      <c r="DA235" s="21">
        <f t="shared" ca="1" si="256"/>
        <v>1.6105769230769236E-2</v>
      </c>
      <c r="DB235" s="21">
        <f t="shared" ca="1" si="257"/>
        <v>3.1723484848484862E-2</v>
      </c>
      <c r="DC235" s="21">
        <f t="shared" ca="1" si="258"/>
        <v>6.1580882352941201E-2</v>
      </c>
      <c r="DD235" s="21">
        <f t="shared" ca="1" si="259"/>
        <v>0.11631944444444449</v>
      </c>
      <c r="DE235" s="21">
        <f t="shared" ca="1" si="260"/>
        <v>0.20937500000000009</v>
      </c>
      <c r="DF235" s="21">
        <f t="shared" ca="1" si="261"/>
        <v>0.34895833333333348</v>
      </c>
      <c r="DG235" s="21">
        <f t="shared" ca="1" si="262"/>
        <v>0.52343750000000022</v>
      </c>
      <c r="DI235" s="16" cm="1">
        <f t="array" aca="1" ref="DI235" ca="1">MAX(_xlfn._xlws.FILTER(CT235:DG235,CT235:DG235&lt;BR235))</f>
        <v>-3.1723484848484862E-2</v>
      </c>
      <c r="DJ235" s="16" cm="1">
        <f t="array" aca="1" ref="DJ235" ca="1">MIN(_xlfn._xlws.FILTER(CT235:DG235,CT235:DG235&gt;BR235))</f>
        <v>-1.6105769230769236E-2</v>
      </c>
      <c r="DK235" s="2" cm="1">
        <f t="array" aca="1" ref="DK235" ca="1">_FV(EC235,"Fechamento anterior",TRUE)</f>
        <v>1.58</v>
      </c>
      <c r="DL235" s="28">
        <f t="shared" ca="1" si="235"/>
        <v>0.41024112034762639</v>
      </c>
      <c r="DM235" s="15">
        <f t="shared" ca="1" si="263"/>
        <v>1.5298768939393941</v>
      </c>
      <c r="DN235" s="15">
        <f t="shared" ca="1" si="264"/>
        <v>1.5545528846153847</v>
      </c>
      <c r="DO235" s="9"/>
      <c r="DP235" s="9"/>
      <c r="DQ235" s="9"/>
      <c r="DR235" s="89">
        <v>3.0769230769230771E-2</v>
      </c>
      <c r="DS235" s="89">
        <v>2.4312556617281798E-2</v>
      </c>
      <c r="DT235" s="89">
        <v>2.9676832043695936E-2</v>
      </c>
      <c r="DU235" s="89">
        <v>1.4388767051488938E-2</v>
      </c>
      <c r="DV235" s="89">
        <f t="shared" ca="1" si="236"/>
        <v>1.5617715617715626E-2</v>
      </c>
      <c r="DW235" s="72">
        <f t="shared" ca="1" si="237"/>
        <v>-0.30894605853940293</v>
      </c>
      <c r="DX235" s="37"/>
      <c r="DY235" s="35">
        <f t="shared" si="247"/>
        <v>0.14080127840328727</v>
      </c>
      <c r="DZ235" s="56"/>
      <c r="EA235" s="56"/>
      <c r="EC235" s="2" t="e" vm="237">
        <v>#VALUE!</v>
      </c>
      <c r="EE235" s="10" cm="1">
        <f t="array" aca="1" ref="EE235" ca="1">_FV(EC235,"Ações em circulação",TRUE)</f>
        <v>1358937000</v>
      </c>
      <c r="EF235" s="18">
        <f>VLOOKUP(BM235,Fundamentus!A:U,5,FALSE)</f>
        <v>7.3999999999999996E-2</v>
      </c>
      <c r="EG235" s="2">
        <f t="shared" ca="1" si="238"/>
        <v>28280580810.810814</v>
      </c>
      <c r="EH235" s="17">
        <v>-463801525.29729736</v>
      </c>
      <c r="EI235" s="17">
        <f t="shared" ca="1" si="239"/>
        <v>-463801525.29729736</v>
      </c>
      <c r="EK235" s="16">
        <f t="shared" ca="1" si="226"/>
        <v>0</v>
      </c>
      <c r="EL235" s="32" t="str">
        <f>IF(VLOOKUP(BM235,Fundamentus!A:U,3,FALSE)&lt;15,"Bom",IF(VLOOKUP(BM235,Fundamentus!A:U,3,FALSE)&gt;15,"Ruim","n/a"))</f>
        <v>Bom</v>
      </c>
      <c r="EM235" s="28" t="str">
        <f>IF(VLOOKUP(BM235,Fundamentus!A:U,4,FALSE)&lt;1,"Baixo",IF(VLOOKUP(BM235,Fundamentus!A:U,4,FALSE)&lt;1.5,"Moderado",IF(VLOOKUP(BM235,Fundamentus!A:U,4,FALSE)&gt;1.5,"Alto","n/a")))</f>
        <v>Moderado</v>
      </c>
      <c r="EN235" s="17" t="str">
        <f>IF(VLOOKUP(BM235,Fundamentus!A:U,8,FALSE)&lt;0,"Risco elevado",IF(VLOOKUP(BM235,Fundamentus!A:U,8,FALSE)&lt;1,"Saudável",IF(VLOOKUP(BM235,Fundamentus!A:U,8,FALSE)&lt;3,"Estável",IF(VLOOKUP(BM235,Fundamentus!A:U,8,FALSE)&gt;3,"Alerta","n/a"))))</f>
        <v>Estável</v>
      </c>
      <c r="EO235" s="28" t="str">
        <f t="shared" si="240"/>
        <v>Ruim</v>
      </c>
      <c r="EP235" s="17" t="str">
        <f>IF(VLOOKUP(BM235,Fundamentus!A:U,12,FALSE)&lt;2,"Subvalorizada",IF(VLOOKUP(BM235,Fundamentus!A:U,12,FALSE)&lt;6,"Muita barata",IF(VLOOKUP(BM235,Fundamentus!A:U,12,FALSE)&lt;6,"Barata",IF(VLOOKUP(BM235,Fundamentus!A:U,12,FALSE)&lt;8,"Atrativa",IF(VLOOKUP(BM235,Fundamentus!A:U,12,FALSE)&gt;8,"Supervalorizada","n/a")))))</f>
        <v>Muita barata</v>
      </c>
      <c r="ER235" s="17" t="str">
        <f>IF(VLOOKUP(BM235,Fundamentus!A:U,17,FALSE)&lt;0.1,"Fraco retorno",IF(VLOOKUP(BM235,Fundamentus!A:U,17,FALSE)&gt;0.1,"Bom retorno","n/a"))</f>
        <v>Fraco retorno</v>
      </c>
      <c r="ES235" s="17" t="str">
        <f>IF(VLOOKUP(BM235,Fundamentus!A:U,16,FALSE)&lt;0.1,"Ineficiente",IF(VLOOKUP(BM235,Fundamentus!A:U,16,FALSE)&gt;0.1,"Eficiente","n/a"))</f>
        <v>Ineficiente</v>
      </c>
      <c r="ET235" s="33" t="str">
        <f>IF(VLOOKUP(BM235,Fundamentus!A:U,16,FALSE)&lt;0.1,"Oper. Ineficiente",IF(VLOOKUP(BM235,Fundamentus!A:U,16,FALSE)&gt;0.1,"Oper.Eficiente","n/a"))</f>
        <v>Oper. Ineficiente</v>
      </c>
      <c r="EU235" s="34">
        <f>VLOOKUP(BM235,Fundamentus!A:U,14,FALSE)</f>
        <v>-1.6400000000000001E-2</v>
      </c>
      <c r="EV235" s="17" t="str">
        <f>IF(VLOOKUP(BM235,Fundamentus!A:U,21,FALSE)&lt;0,"Negativo",IF(VLOOKUP(BM235,Fundamentus!A:U,21,FALSE)&lt;0.05,"Fraco",IF(VLOOKUP(BM235,Fundamentus!A:U,21,FALSE)&lt;0.1,"Bom",IF(VLOOKUP(BM235,Fundamentus!A:U,21,FALSE)&gt;0.1,"Muito bom","n/a"))))</f>
        <v>Muito bom</v>
      </c>
      <c r="EX235" s="29" t="str">
        <f>IF(VLOOKUP(BM235,Fundamentus!A:U,15,FALSE)&gt;1,"Bom",IF(VLOOKUP(BM235,Fundamentus!A:U,15,FALSE)&lt;1,"Ruim","n/a"))</f>
        <v>Bom</v>
      </c>
      <c r="EY235" s="17" t="str">
        <f>IF(VLOOKUP(BM235,Fundamentus!A:U,20,FALSE)&lt;0.5,"Baixa",IF(VLOOKUP(BM235,Fundamentus!A:U,20,FALSE)&lt;1,"Moderada",IF(VLOOKUP(BM235,Fundamentus!A:U,20,FALSE)&lt;2,"Alerta",IF(VLOOKUP(BM235,Fundamentus!A:U,20,FALSE)&gt;2,"Alta","n/a"))))</f>
        <v>Alta</v>
      </c>
    </row>
    <row r="236" spans="1:155" s="2" customFormat="1" ht="11.25" x14ac:dyDescent="0.2">
      <c r="A236" s="4">
        <v>28.22</v>
      </c>
      <c r="B236" s="4">
        <v>27.14</v>
      </c>
      <c r="C236" s="4">
        <v>27.69</v>
      </c>
      <c r="D236" s="4">
        <v>27</v>
      </c>
      <c r="E236" s="4">
        <v>27.18</v>
      </c>
      <c r="F236" s="4">
        <v>27.18</v>
      </c>
      <c r="G236" s="4">
        <v>26.45</v>
      </c>
      <c r="H236" s="4">
        <v>26.61</v>
      </c>
      <c r="I236" s="4">
        <v>26.59</v>
      </c>
      <c r="J236" s="4">
        <v>26.73</v>
      </c>
      <c r="K236" s="4">
        <v>26.83</v>
      </c>
      <c r="L236" s="4">
        <v>27.11</v>
      </c>
      <c r="M236" s="4">
        <v>27.12</v>
      </c>
      <c r="N236" s="4">
        <v>26.16</v>
      </c>
      <c r="O236" s="4">
        <v>26.55</v>
      </c>
      <c r="P236" s="4">
        <v>28.27</v>
      </c>
      <c r="Q236" s="4">
        <v>28.22</v>
      </c>
      <c r="R236" s="4">
        <v>28.12</v>
      </c>
      <c r="S236" s="4">
        <v>28.77</v>
      </c>
      <c r="T236" s="4">
        <v>28.42</v>
      </c>
      <c r="U236" s="4">
        <v>27.5</v>
      </c>
      <c r="V236" s="4">
        <v>27.25</v>
      </c>
      <c r="W236" s="4">
        <v>26.86</v>
      </c>
      <c r="X236" s="4">
        <v>26.33</v>
      </c>
      <c r="Y236" s="4">
        <v>26.62</v>
      </c>
      <c r="Z236" s="4">
        <v>26.37</v>
      </c>
      <c r="AA236" s="4">
        <v>26.09</v>
      </c>
      <c r="AB236" s="4">
        <v>26.03</v>
      </c>
      <c r="AC236" s="4">
        <v>25.37</v>
      </c>
      <c r="AD236" s="4">
        <v>25.6</v>
      </c>
      <c r="AE236" s="4">
        <v>24.71</v>
      </c>
      <c r="AF236" s="4">
        <v>24.73</v>
      </c>
      <c r="AG236" s="4">
        <v>24.51</v>
      </c>
      <c r="AH236" s="4">
        <v>23.92</v>
      </c>
      <c r="AI236" s="4">
        <v>24.11</v>
      </c>
      <c r="AJ236" s="4">
        <v>23.74</v>
      </c>
      <c r="AK236" s="4">
        <v>24.21</v>
      </c>
      <c r="AL236" s="4">
        <v>25.35</v>
      </c>
      <c r="AM236" s="4">
        <v>26.62</v>
      </c>
      <c r="AN236" s="4">
        <v>27.68</v>
      </c>
      <c r="AO236" s="4">
        <v>27.78</v>
      </c>
      <c r="AP236" s="4">
        <v>28.75</v>
      </c>
      <c r="AQ236" s="4">
        <v>27.98</v>
      </c>
      <c r="AR236" s="4">
        <v>27.31</v>
      </c>
      <c r="AS236" s="4">
        <v>28.06</v>
      </c>
      <c r="AT236" s="4">
        <v>27.88</v>
      </c>
      <c r="AU236" s="4">
        <v>28.274999999999999</v>
      </c>
      <c r="AV236" s="4">
        <v>28.64</v>
      </c>
      <c r="AW236" s="4">
        <v>27.98</v>
      </c>
      <c r="AX236" s="4">
        <v>27.8</v>
      </c>
      <c r="AY236" s="12">
        <v>27.43</v>
      </c>
      <c r="AZ236" s="12">
        <v>28.01</v>
      </c>
      <c r="BA236" s="12">
        <v>28.93</v>
      </c>
      <c r="BB236" s="15">
        <v>29.41</v>
      </c>
      <c r="BC236" s="52">
        <v>29.4</v>
      </c>
      <c r="BD236" s="52">
        <v>24.42</v>
      </c>
      <c r="BE236" s="52">
        <v>23.42</v>
      </c>
      <c r="BF236" s="52">
        <v>21.71</v>
      </c>
      <c r="BG236" s="67">
        <v>21.59</v>
      </c>
      <c r="BH236" s="52">
        <v>21.35</v>
      </c>
      <c r="BI236" s="52">
        <v>21.73</v>
      </c>
      <c r="BJ236" s="52">
        <v>22.43</v>
      </c>
      <c r="BK236" s="52">
        <v>21.2</v>
      </c>
      <c r="BL236" s="52" cm="1">
        <f t="array" aca="1" ref="BL236" ca="1">_FV(EC236,"Preço")</f>
        <v>21.2</v>
      </c>
      <c r="BM236" s="69" t="s">
        <v>232</v>
      </c>
      <c r="BN236" s="36" cm="1">
        <f t="array" aca="1" ref="BN236" ca="1">_FV(EC236,"Média de volume",TRUE)</f>
        <v>24899340</v>
      </c>
      <c r="BO236" s="36">
        <v>26044900</v>
      </c>
      <c r="BP236" s="36" cm="1">
        <f t="array" aca="1" ref="BP236" ca="1">_FV(EC236,"Volume")</f>
        <v>26044900</v>
      </c>
      <c r="BQ236" s="24" cm="1">
        <f t="array" aca="1" ref="BQ236" ca="1">_FV(EC236,"Beta")</f>
        <v>0.97629999999999995</v>
      </c>
      <c r="BR236" s="71" cm="1">
        <f t="array" aca="1" ref="BR236" ca="1">_FV(EC236,"Variação (%)",TRUE)</f>
        <v>-4.7149999999999997E-4</v>
      </c>
      <c r="BT236" s="17" cm="1">
        <f t="array" aca="1" ref="BT236" ca="1">_FV(EC236,"Baixo")</f>
        <v>20.82</v>
      </c>
      <c r="BU236" s="17" cm="1">
        <f t="array" aca="1" ref="BU236" ca="1">_FV(EC236,"Alto")</f>
        <v>21.24</v>
      </c>
      <c r="BV236" s="24"/>
      <c r="BW236" s="63">
        <f ca="1">SQRT(22.5*(BL236/VLOOKUP(BM236,Fundamentus!A:U,3,FALSE))*(BL236/VLOOKUP(BM236,Fundamentus!A:U,4,FALSE)))</f>
        <v>61.87660479380493</v>
      </c>
      <c r="BY236" s="62">
        <f t="shared" ca="1" si="241"/>
        <v>0</v>
      </c>
      <c r="BZ236" s="8"/>
      <c r="CA236" s="61">
        <f t="shared" si="242"/>
        <v>21.2</v>
      </c>
      <c r="CB236" s="61">
        <f t="shared" si="243"/>
        <v>29.41</v>
      </c>
      <c r="CC236" s="61">
        <f t="shared" si="244"/>
        <v>26.372142857142865</v>
      </c>
      <c r="CD236" s="14"/>
      <c r="CE236" s="35">
        <f t="shared" si="227"/>
        <v>20.910049859143431</v>
      </c>
      <c r="CF236" s="15">
        <f t="shared" si="245"/>
        <v>21.690000000000026</v>
      </c>
      <c r="CG236" s="35">
        <f t="shared" si="228"/>
        <v>22.469950140856621</v>
      </c>
      <c r="CI236" s="14"/>
      <c r="CJ236" s="17">
        <f t="shared" si="229"/>
        <v>11.073333333333327</v>
      </c>
      <c r="CK236" s="17">
        <f t="shared" si="230"/>
        <v>16.136666666666663</v>
      </c>
      <c r="CL236" s="17">
        <f t="shared" si="231"/>
        <v>19.283333333333328</v>
      </c>
      <c r="CM236" s="38">
        <f t="shared" si="246"/>
        <v>24.346666666666664</v>
      </c>
      <c r="CN236" s="17">
        <f t="shared" si="232"/>
        <v>27.493333333333329</v>
      </c>
      <c r="CO236" s="17">
        <f t="shared" si="233"/>
        <v>32.556666666666665</v>
      </c>
      <c r="CP236" s="17">
        <f t="shared" si="234"/>
        <v>35.703333333333333</v>
      </c>
      <c r="CQ236" s="2" cm="1">
        <f t="array" aca="1" ref="CQ236" ca="1">MAX(_xlfn._xlws.FILTER(CJ236:CP236,CJ236:CP236&lt;BL236))</f>
        <v>19.283333333333328</v>
      </c>
      <c r="CR236" s="2" cm="1">
        <f t="array" aca="1" ref="CR236" ca="1">MIN(_xlfn._xlws.FILTER($CJ236:$CP236,$CJ236:$CP236&gt;BL236))</f>
        <v>24.346666666666664</v>
      </c>
      <c r="CS236" s="16">
        <f t="shared" ca="1" si="248"/>
        <v>0.26257562662057077</v>
      </c>
      <c r="CT236" s="20">
        <f t="shared" ca="1" si="249"/>
        <v>-0.13128781331028538</v>
      </c>
      <c r="CU236" s="20">
        <f t="shared" ca="1" si="250"/>
        <v>-8.7525208873523594E-2</v>
      </c>
      <c r="CV236" s="20">
        <f t="shared" ca="1" si="251"/>
        <v>-5.2515125324114155E-2</v>
      </c>
      <c r="CW236" s="20">
        <f t="shared" ca="1" si="252"/>
        <v>-2.9175069624507863E-2</v>
      </c>
      <c r="CX236" s="20">
        <f t="shared" ca="1" si="253"/>
        <v>-1.5445625095327693E-2</v>
      </c>
      <c r="CY236" s="20">
        <f t="shared" ca="1" si="254"/>
        <v>-7.9568371703203269E-3</v>
      </c>
      <c r="CZ236" s="20">
        <f t="shared" ca="1" si="255"/>
        <v>-4.0396250249318576E-3</v>
      </c>
      <c r="DA236" s="21">
        <f t="shared" ca="1" si="256"/>
        <v>4.0396250249318576E-3</v>
      </c>
      <c r="DB236" s="21">
        <f t="shared" ca="1" si="257"/>
        <v>7.9568371703203269E-3</v>
      </c>
      <c r="DC236" s="21">
        <f t="shared" ca="1" si="258"/>
        <v>1.5445625095327693E-2</v>
      </c>
      <c r="DD236" s="21">
        <f t="shared" ca="1" si="259"/>
        <v>2.9175069624507863E-2</v>
      </c>
      <c r="DE236" s="21">
        <f t="shared" ca="1" si="260"/>
        <v>5.2515125324114155E-2</v>
      </c>
      <c r="DF236" s="21">
        <f t="shared" ca="1" si="261"/>
        <v>8.7525208873523594E-2</v>
      </c>
      <c r="DG236" s="21">
        <f t="shared" ca="1" si="262"/>
        <v>0.13128781331028538</v>
      </c>
      <c r="DI236" s="16" cm="1">
        <f t="array" aca="1" ref="DI236" ca="1">MAX(_xlfn._xlws.FILTER(CT236:DG236,CT236:DG236&lt;BR236))</f>
        <v>-4.0396250249318576E-3</v>
      </c>
      <c r="DJ236" s="16" cm="1">
        <f t="array" aca="1" ref="DJ236" ca="1">MIN(_xlfn._xlws.FILTER(CT236:DG236,CT236:DG236&gt;BR236))</f>
        <v>4.0396250249318576E-3</v>
      </c>
      <c r="DK236" s="2" cm="1">
        <f t="array" aca="1" ref="DK236" ca="1">_FV(EC236,"Fechamento anterior",TRUE)</f>
        <v>21.21</v>
      </c>
      <c r="DL236" s="28">
        <f t="shared" ca="1" si="235"/>
        <v>0.44164362829586001</v>
      </c>
      <c r="DM236" s="15">
        <f t="shared" ca="1" si="263"/>
        <v>21.124319553221195</v>
      </c>
      <c r="DN236" s="15">
        <f t="shared" ca="1" si="264"/>
        <v>21.295680446778807</v>
      </c>
      <c r="DO236" s="9"/>
      <c r="DP236" s="9"/>
      <c r="DQ236" s="9"/>
      <c r="DR236" s="89">
        <v>1.3211353768629313E-2</v>
      </c>
      <c r="DS236" s="89">
        <v>4.0969975298333471E-3</v>
      </c>
      <c r="DT236" s="89">
        <v>3.8585203847456666E-3</v>
      </c>
      <c r="DU236" s="89">
        <v>7.9581982935379367E-3</v>
      </c>
      <c r="DV236" s="89">
        <f t="shared" ca="1" si="236"/>
        <v>8.0792500498637152E-3</v>
      </c>
      <c r="DW236" s="72">
        <f t="shared" ca="1" si="237"/>
        <v>-0.62824528688702452</v>
      </c>
      <c r="DX236" s="37"/>
      <c r="DY236" s="35">
        <f t="shared" si="247"/>
        <v>0.38997507042829732</v>
      </c>
      <c r="DZ236" s="56"/>
      <c r="EA236" s="56"/>
      <c r="EC236" s="2" t="e" vm="238">
        <v>#VALUE!</v>
      </c>
      <c r="EE236" s="10" cm="1">
        <f t="array" aca="1" ref="EE236" ca="1">_FV(EC236,"Ações em circulação",TRUE)</f>
        <v>5730834000</v>
      </c>
      <c r="EF236" s="18">
        <f>VLOOKUP(BM236,Fundamentus!A:U,5,FALSE)</f>
        <v>0</v>
      </c>
      <c r="EG236" s="2" t="e">
        <f t="shared" ca="1" si="238"/>
        <v>#DIV/0!</v>
      </c>
      <c r="EH236" s="17" t="e">
        <v>#DIV/0!</v>
      </c>
      <c r="EI236" s="17" t="e">
        <f t="shared" ca="1" si="239"/>
        <v>#DIV/0!</v>
      </c>
      <c r="EK236" s="16" t="e">
        <f t="shared" ca="1" si="226"/>
        <v>#DIV/0!</v>
      </c>
      <c r="EL236" s="32" t="str">
        <f>IF(VLOOKUP(BM236,Fundamentus!A:U,3,FALSE)&lt;15,"Bom",IF(VLOOKUP(BM236,Fundamentus!A:U,3,FALSE)&gt;15,"Ruim","n/a"))</f>
        <v>Bom</v>
      </c>
      <c r="EM236" s="28" t="str">
        <f>IF(VLOOKUP(BM236,Fundamentus!A:U,4,FALSE)&lt;1,"Baixo",IF(VLOOKUP(BM236,Fundamentus!A:U,4,FALSE)&lt;1.5,"Moderado",IF(VLOOKUP(BM236,Fundamentus!A:U,4,FALSE)&gt;1.5,"Alto","n/a")))</f>
        <v>Baixo</v>
      </c>
      <c r="EN236" s="17" t="str">
        <f>IF(VLOOKUP(BM236,Fundamentus!A:U,8,FALSE)&lt;0,"Risco elevado",IF(VLOOKUP(BM236,Fundamentus!A:U,8,FALSE)&lt;1,"Saudável",IF(VLOOKUP(BM236,Fundamentus!A:U,8,FALSE)&lt;3,"Estável",IF(VLOOKUP(BM236,Fundamentus!A:U,8,FALSE)&gt;3,"Alerta","n/a"))))</f>
        <v>Saudável</v>
      </c>
      <c r="EO236" s="28" t="str">
        <f t="shared" si="240"/>
        <v>Ruim</v>
      </c>
      <c r="EP236" s="17" t="str">
        <f>IF(VLOOKUP(BM236,Fundamentus!A:U,12,FALSE)&lt;2,"Subvalorizada",IF(VLOOKUP(BM236,Fundamentus!A:U,12,FALSE)&lt;6,"Muita barata",IF(VLOOKUP(BM236,Fundamentus!A:U,12,FALSE)&lt;6,"Barata",IF(VLOOKUP(BM236,Fundamentus!A:U,12,FALSE)&lt;8,"Atrativa",IF(VLOOKUP(BM236,Fundamentus!A:U,12,FALSE)&gt;8,"Supervalorizada","n/a")))))</f>
        <v>Subvalorizada</v>
      </c>
      <c r="ER236" s="17" t="str">
        <f>IF(VLOOKUP(BM236,Fundamentus!A:U,17,FALSE)&lt;0.1,"Fraco retorno",IF(VLOOKUP(BM236,Fundamentus!A:U,17,FALSE)&gt;0.1,"Bom retorno","n/a"))</f>
        <v>Bom retorno</v>
      </c>
      <c r="ES236" s="17" t="str">
        <f>IF(VLOOKUP(BM236,Fundamentus!A:U,16,FALSE)&lt;0.1,"Ineficiente",IF(VLOOKUP(BM236,Fundamentus!A:U,16,FALSE)&gt;0.1,"Eficiente","n/a"))</f>
        <v>Ineficiente</v>
      </c>
      <c r="ET236" s="33" t="str">
        <f>IF(VLOOKUP(BM236,Fundamentus!A:U,16,FALSE)&lt;0.1,"Oper. Ineficiente",IF(VLOOKUP(BM236,Fundamentus!A:U,16,FALSE)&gt;0.1,"Oper.Eficiente","n/a"))</f>
        <v>Oper. Ineficiente</v>
      </c>
      <c r="EU236" s="34">
        <f>VLOOKUP(BM236,Fundamentus!A:U,14,FALSE)</f>
        <v>0</v>
      </c>
      <c r="EV236" s="17" t="str">
        <f>IF(VLOOKUP(BM236,Fundamentus!A:U,21,FALSE)&lt;0,"Negativo",IF(VLOOKUP(BM236,Fundamentus!A:U,21,FALSE)&lt;0.05,"Fraco",IF(VLOOKUP(BM236,Fundamentus!A:U,21,FALSE)&lt;0.1,"Bom",IF(VLOOKUP(BM236,Fundamentus!A:U,21,FALSE)&gt;0.1,"Muito bom","n/a"))))</f>
        <v>Muito bom</v>
      </c>
      <c r="EX236" s="29" t="str">
        <f>IF(VLOOKUP(BM236,Fundamentus!A:U,15,FALSE)&gt;1,"Bom",IF(VLOOKUP(BM236,Fundamentus!A:U,15,FALSE)&lt;1,"Ruim","n/a"))</f>
        <v>Ruim</v>
      </c>
      <c r="EY236" s="17" t="str">
        <f>IF(VLOOKUP(BM236,Fundamentus!A:U,20,FALSE)&lt;0.5,"Baixa",IF(VLOOKUP(BM236,Fundamentus!A:U,20,FALSE)&lt;1,"Moderada",IF(VLOOKUP(BM236,Fundamentus!A:U,20,FALSE)&lt;2,"Alerta",IF(VLOOKUP(BM236,Fundamentus!A:U,20,FALSE)&gt;2,"Alta","n/a"))))</f>
        <v>Baixa</v>
      </c>
    </row>
    <row r="237" spans="1:155" s="2" customFormat="1" ht="11.25" x14ac:dyDescent="0.2">
      <c r="A237" s="4">
        <v>7.48</v>
      </c>
      <c r="B237" s="4">
        <v>7.28</v>
      </c>
      <c r="C237" s="4">
        <v>6.9</v>
      </c>
      <c r="D237" s="4">
        <v>6.77</v>
      </c>
      <c r="E237" s="4">
        <v>7</v>
      </c>
      <c r="F237" s="4">
        <v>7</v>
      </c>
      <c r="G237" s="4">
        <v>5.91</v>
      </c>
      <c r="H237" s="4">
        <v>6.04</v>
      </c>
      <c r="I237" s="4">
        <v>6.28</v>
      </c>
      <c r="J237" s="4">
        <v>6.28</v>
      </c>
      <c r="K237" s="4">
        <v>6.3</v>
      </c>
      <c r="L237" s="4">
        <v>5.9</v>
      </c>
      <c r="M237" s="4">
        <v>5.92</v>
      </c>
      <c r="N237" s="4">
        <v>5.88</v>
      </c>
      <c r="O237" s="4">
        <v>5.9</v>
      </c>
      <c r="P237" s="4">
        <v>5.9</v>
      </c>
      <c r="Q237" s="4">
        <v>5.9</v>
      </c>
      <c r="R237" s="4">
        <v>5.93</v>
      </c>
      <c r="S237" s="4">
        <v>5.84</v>
      </c>
      <c r="T237" s="4">
        <v>5.88</v>
      </c>
      <c r="U237" s="4">
        <v>5.78</v>
      </c>
      <c r="V237" s="4">
        <v>5.71</v>
      </c>
      <c r="W237" s="4">
        <v>5.68</v>
      </c>
      <c r="X237" s="4">
        <v>5.53</v>
      </c>
      <c r="Y237" s="4">
        <v>5.77</v>
      </c>
      <c r="Z237" s="4">
        <v>5.67</v>
      </c>
      <c r="AA237" s="4">
        <v>5.7</v>
      </c>
      <c r="AB237" s="4">
        <v>5.53</v>
      </c>
      <c r="AC237" s="4">
        <v>5.26</v>
      </c>
      <c r="AD237" s="4">
        <v>5.45</v>
      </c>
      <c r="AE237" s="4">
        <v>5.41</v>
      </c>
      <c r="AF237" s="4">
        <v>5.33</v>
      </c>
      <c r="AG237" s="4">
        <v>6.41</v>
      </c>
      <c r="AH237" s="4">
        <v>4.91</v>
      </c>
      <c r="AI237" s="4">
        <v>5.17</v>
      </c>
      <c r="AJ237" s="4">
        <v>5.78</v>
      </c>
      <c r="AK237" s="4">
        <v>5.46</v>
      </c>
      <c r="AL237" s="4">
        <v>5.34</v>
      </c>
      <c r="AM237" s="4">
        <v>5.23</v>
      </c>
      <c r="AN237" s="4">
        <v>5.24</v>
      </c>
      <c r="AO237" s="4">
        <v>5.13</v>
      </c>
      <c r="AP237" s="4">
        <v>5.05</v>
      </c>
      <c r="AQ237" s="4">
        <v>5.03</v>
      </c>
      <c r="AR237" s="4">
        <v>4.99</v>
      </c>
      <c r="AS237" s="4">
        <v>4.8499999999999996</v>
      </c>
      <c r="AT237" s="4">
        <v>4.96</v>
      </c>
      <c r="AU237" s="4">
        <v>5.0449999999999999</v>
      </c>
      <c r="AV237" s="4">
        <v>4.96</v>
      </c>
      <c r="AW237" s="4">
        <v>4.88</v>
      </c>
      <c r="AX237" s="4">
        <v>4.7</v>
      </c>
      <c r="AY237" s="12">
        <v>4.7</v>
      </c>
      <c r="AZ237" s="12">
        <v>4.72</v>
      </c>
      <c r="BA237" s="12">
        <v>4.78</v>
      </c>
      <c r="BB237" s="15">
        <v>4.7</v>
      </c>
      <c r="BC237" s="52">
        <v>4.49</v>
      </c>
      <c r="BD237" s="52">
        <v>4.5999999999999996</v>
      </c>
      <c r="BE237" s="52">
        <v>4.75</v>
      </c>
      <c r="BF237" s="52">
        <v>4.7699999999999996</v>
      </c>
      <c r="BG237" s="67">
        <v>4.91</v>
      </c>
      <c r="BH237" s="52">
        <v>5.05</v>
      </c>
      <c r="BI237" s="52">
        <v>4.9000000000000004</v>
      </c>
      <c r="BJ237" s="52">
        <v>4.96</v>
      </c>
      <c r="BK237" s="52">
        <v>4.9000000000000004</v>
      </c>
      <c r="BL237" s="52" cm="1">
        <f t="array" aca="1" ref="BL237" ca="1">_FV(EC237,"Preço")</f>
        <v>4.9000000000000004</v>
      </c>
      <c r="BM237" s="69" t="s">
        <v>233</v>
      </c>
      <c r="BN237" s="36" cm="1">
        <f t="array" aca="1" ref="BN237" ca="1">_FV(EC237,"Média de volume",TRUE)</f>
        <v>2500</v>
      </c>
      <c r="BO237" s="36">
        <v>4600</v>
      </c>
      <c r="BP237" s="36" cm="1">
        <f t="array" aca="1" ref="BP237" ca="1">_FV(EC237,"Volume")</f>
        <v>4600</v>
      </c>
      <c r="BQ237" s="24" cm="1">
        <f t="array" aca="1" ref="BQ237" ca="1">_FV(EC237,"Beta")</f>
        <v>0.38819999999999999</v>
      </c>
      <c r="BR237" s="71" cm="1">
        <f t="array" aca="1" ref="BR237" ca="1">_FV(EC237,"Variação (%)",TRUE)</f>
        <v>0</v>
      </c>
      <c r="BT237" s="17" cm="1">
        <f t="array" aca="1" ref="BT237" ca="1">_FV(EC237,"Baixo")</f>
        <v>4.88</v>
      </c>
      <c r="BU237" s="17" cm="1">
        <f t="array" aca="1" ref="BU237" ca="1">_FV(EC237,"Alto")</f>
        <v>4.93</v>
      </c>
      <c r="BV237" s="24"/>
      <c r="BW237" s="63">
        <f ca="1">SQRT(22.5*(BL237/VLOOKUP(BM237,Fundamentus!A:U,3,FALSE))*(BL237/VLOOKUP(BM237,Fundamentus!A:U,4,FALSE)))</f>
        <v>5.6319937557145865</v>
      </c>
      <c r="BY237" s="62">
        <f t="shared" ca="1" si="241"/>
        <v>0</v>
      </c>
      <c r="BZ237" s="8"/>
      <c r="CA237" s="61">
        <f t="shared" si="242"/>
        <v>4.49</v>
      </c>
      <c r="CB237" s="61">
        <f t="shared" si="243"/>
        <v>7.48</v>
      </c>
      <c r="CC237" s="61">
        <f t="shared" si="244"/>
        <v>5.5313492063492058</v>
      </c>
      <c r="CD237" s="14"/>
      <c r="CE237" s="35">
        <f t="shared" si="227"/>
        <v>4.7661667499167919</v>
      </c>
      <c r="CF237" s="15">
        <f t="shared" si="245"/>
        <v>4.9330000000000211</v>
      </c>
      <c r="CG237" s="35">
        <f t="shared" si="228"/>
        <v>5.0998332500832504</v>
      </c>
      <c r="CI237" s="14"/>
      <c r="CJ237" s="17">
        <f t="shared" si="229"/>
        <v>0.81666666666666643</v>
      </c>
      <c r="CK237" s="17">
        <f t="shared" si="230"/>
        <v>2.6533333333333333</v>
      </c>
      <c r="CL237" s="17">
        <f t="shared" si="231"/>
        <v>3.8066666666666666</v>
      </c>
      <c r="CM237" s="38">
        <f t="shared" si="246"/>
        <v>5.6433333333333335</v>
      </c>
      <c r="CN237" s="17">
        <f t="shared" si="232"/>
        <v>6.7966666666666669</v>
      </c>
      <c r="CO237" s="17">
        <f t="shared" si="233"/>
        <v>8.6333333333333329</v>
      </c>
      <c r="CP237" s="17">
        <f t="shared" si="234"/>
        <v>9.7866666666666671</v>
      </c>
      <c r="CQ237" s="2" cm="1">
        <f t="array" aca="1" ref="CQ237" ca="1">MAX(_xlfn._xlws.FILTER(CJ237:CP237,CJ237:CP237&lt;BL237))</f>
        <v>3.8066666666666666</v>
      </c>
      <c r="CR237" s="2" cm="1">
        <f t="array" aca="1" ref="CR237" ca="1">MIN(_xlfn._xlws.FILTER($CJ237:$CP237,$CJ237:$CP237&gt;BL237))</f>
        <v>5.6433333333333335</v>
      </c>
      <c r="CS237" s="16">
        <f t="shared" ca="1" si="248"/>
        <v>0.48248686514886163</v>
      </c>
      <c r="CT237" s="20">
        <f t="shared" ca="1" si="249"/>
        <v>-0.24124343257443082</v>
      </c>
      <c r="CU237" s="20">
        <f t="shared" ca="1" si="250"/>
        <v>-0.16082895504962055</v>
      </c>
      <c r="CV237" s="20">
        <f t="shared" ca="1" si="251"/>
        <v>-9.6497373029772321E-2</v>
      </c>
      <c r="CW237" s="20">
        <f t="shared" ca="1" si="252"/>
        <v>-5.3609651683206846E-2</v>
      </c>
      <c r="CX237" s="20">
        <f t="shared" ca="1" si="253"/>
        <v>-2.8381580302874215E-2</v>
      </c>
      <c r="CY237" s="20">
        <f t="shared" ca="1" si="254"/>
        <v>-1.462081409542005E-2</v>
      </c>
      <c r="CZ237" s="20">
        <f t="shared" ca="1" si="255"/>
        <v>-7.4228748484440254E-3</v>
      </c>
      <c r="DA237" s="21">
        <f t="shared" ca="1" si="256"/>
        <v>7.4228748484440254E-3</v>
      </c>
      <c r="DB237" s="21">
        <f t="shared" ca="1" si="257"/>
        <v>1.462081409542005E-2</v>
      </c>
      <c r="DC237" s="21">
        <f t="shared" ca="1" si="258"/>
        <v>2.8381580302874215E-2</v>
      </c>
      <c r="DD237" s="21">
        <f t="shared" ca="1" si="259"/>
        <v>5.3609651683206846E-2</v>
      </c>
      <c r="DE237" s="21">
        <f t="shared" ca="1" si="260"/>
        <v>9.6497373029772321E-2</v>
      </c>
      <c r="DF237" s="21">
        <f t="shared" ca="1" si="261"/>
        <v>0.16082895504962055</v>
      </c>
      <c r="DG237" s="21">
        <f t="shared" ca="1" si="262"/>
        <v>0.24124343257443082</v>
      </c>
      <c r="DI237" s="16" cm="1">
        <f t="array" aca="1" ref="DI237" ca="1">MAX(_xlfn._xlws.FILTER(CT237:DG237,CT237:DG237&lt;BR237))</f>
        <v>-7.4228748484440254E-3</v>
      </c>
      <c r="DJ237" s="16" cm="1">
        <f t="array" aca="1" ref="DJ237" ca="1">MIN(_xlfn._xlws.FILTER(CT237:DG237,CT237:DG237&gt;BR237))</f>
        <v>7.4228748484440254E-3</v>
      </c>
      <c r="DK237" s="2" cm="1">
        <f t="array" aca="1" ref="DK237" ca="1">_FV(EC237,"Fechamento anterior",TRUE)</f>
        <v>4.9000000000000004</v>
      </c>
      <c r="DL237" s="28">
        <f t="shared" ca="1" si="235"/>
        <v>0.5</v>
      </c>
      <c r="DM237" s="15">
        <f t="shared" ca="1" si="263"/>
        <v>4.8636279132426248</v>
      </c>
      <c r="DN237" s="15">
        <f t="shared" ca="1" si="264"/>
        <v>4.9363720867573759</v>
      </c>
      <c r="DO237" s="9"/>
      <c r="DP237" s="9"/>
      <c r="DQ237" s="9"/>
      <c r="DR237" s="89">
        <v>1.6274101590670973E-2</v>
      </c>
      <c r="DS237" s="89">
        <v>1.511280239195432E-2</v>
      </c>
      <c r="DT237" s="89">
        <v>1.4845749696888051E-2</v>
      </c>
      <c r="DU237" s="89">
        <v>1.4845749696888051E-2</v>
      </c>
      <c r="DV237" s="89">
        <f t="shared" ca="1" si="236"/>
        <v>1.4845749696888051E-2</v>
      </c>
      <c r="DW237" s="72">
        <f t="shared" ca="1" si="237"/>
        <v>-0.19780229650598938</v>
      </c>
      <c r="DX237" s="37"/>
      <c r="DY237" s="35">
        <f t="shared" si="247"/>
        <v>8.3416625041614706E-2</v>
      </c>
      <c r="DZ237" s="56"/>
      <c r="EA237" s="56"/>
      <c r="EC237" s="2" t="e" vm="239">
        <v>#VALUE!</v>
      </c>
      <c r="EE237" s="10" cm="1">
        <f t="array" aca="1" ref="EE237" ca="1">_FV(EC237,"Ações em circulação",TRUE)</f>
        <v>14860570</v>
      </c>
      <c r="EF237" s="18">
        <f>VLOOKUP(BM237,Fundamentus!A:U,5,FALSE)</f>
        <v>10.347</v>
      </c>
      <c r="EG237" s="2">
        <f t="shared" ca="1" si="238"/>
        <v>7037478.7861215817</v>
      </c>
      <c r="EH237" s="17">
        <v>5727100.2361457432</v>
      </c>
      <c r="EI237" s="17">
        <f t="shared" ca="1" si="239"/>
        <v>5727100.2361457432</v>
      </c>
      <c r="EK237" s="16">
        <f t="shared" ca="1" si="226"/>
        <v>0</v>
      </c>
      <c r="EL237" s="32" t="str">
        <f>IF(VLOOKUP(BM237,Fundamentus!A:U,3,FALSE)&lt;15,"Bom",IF(VLOOKUP(BM237,Fundamentus!A:U,3,FALSE)&gt;15,"Ruim","n/a"))</f>
        <v>Bom</v>
      </c>
      <c r="EM237" s="28" t="str">
        <f>IF(VLOOKUP(BM237,Fundamentus!A:U,4,FALSE)&lt;1,"Baixo",IF(VLOOKUP(BM237,Fundamentus!A:U,4,FALSE)&lt;1.5,"Moderado",IF(VLOOKUP(BM237,Fundamentus!A:U,4,FALSE)&gt;1.5,"Alto","n/a")))</f>
        <v>Moderado</v>
      </c>
      <c r="EN237" s="17" t="str">
        <f>IF(VLOOKUP(BM237,Fundamentus!A:U,8,FALSE)&lt;0,"Risco elevado",IF(VLOOKUP(BM237,Fundamentus!A:U,8,FALSE)&lt;1,"Saudável",IF(VLOOKUP(BM237,Fundamentus!A:U,8,FALSE)&lt;3,"Estável",IF(VLOOKUP(BM237,Fundamentus!A:U,8,FALSE)&gt;3,"Alerta","n/a"))))</f>
        <v>Alerta</v>
      </c>
      <c r="EO237" s="28" t="str">
        <f t="shared" si="240"/>
        <v>Bom</v>
      </c>
      <c r="EP237" s="17" t="str">
        <f>IF(VLOOKUP(BM237,Fundamentus!A:U,12,FALSE)&lt;2,"Subvalorizada",IF(VLOOKUP(BM237,Fundamentus!A:U,12,FALSE)&lt;6,"Muita barata",IF(VLOOKUP(BM237,Fundamentus!A:U,12,FALSE)&lt;6,"Barata",IF(VLOOKUP(BM237,Fundamentus!A:U,12,FALSE)&lt;8,"Atrativa",IF(VLOOKUP(BM237,Fundamentus!A:U,12,FALSE)&gt;8,"Supervalorizada","n/a")))))</f>
        <v>Subvalorizada</v>
      </c>
      <c r="ER237" s="17" t="str">
        <f>IF(VLOOKUP(BM237,Fundamentus!A:U,17,FALSE)&lt;0.1,"Fraco retorno",IF(VLOOKUP(BM237,Fundamentus!A:U,17,FALSE)&gt;0.1,"Bom retorno","n/a"))</f>
        <v>Bom retorno</v>
      </c>
      <c r="ES237" s="17" t="str">
        <f>IF(VLOOKUP(BM237,Fundamentus!A:U,16,FALSE)&lt;0.1,"Ineficiente",IF(VLOOKUP(BM237,Fundamentus!A:U,16,FALSE)&gt;0.1,"Eficiente","n/a"))</f>
        <v>Ineficiente</v>
      </c>
      <c r="ET237" s="33" t="str">
        <f>IF(VLOOKUP(BM237,Fundamentus!A:U,16,FALSE)&lt;0.1,"Oper. Ineficiente",IF(VLOOKUP(BM237,Fundamentus!A:U,16,FALSE)&gt;0.1,"Oper.Eficiente","n/a"))</f>
        <v>Oper. Ineficiente</v>
      </c>
      <c r="EU237" s="34">
        <f>VLOOKUP(BM237,Fundamentus!A:U,14,FALSE)</f>
        <v>0.81379999999999997</v>
      </c>
      <c r="EV237" s="17" t="str">
        <f>IF(VLOOKUP(BM237,Fundamentus!A:U,21,FALSE)&lt;0,"Negativo",IF(VLOOKUP(BM237,Fundamentus!A:U,21,FALSE)&lt;0.05,"Fraco",IF(VLOOKUP(BM237,Fundamentus!A:U,21,FALSE)&lt;0.1,"Bom",IF(VLOOKUP(BM237,Fundamentus!A:U,21,FALSE)&gt;0.1,"Muito bom","n/a"))))</f>
        <v>Negativo</v>
      </c>
      <c r="EX237" s="29" t="str">
        <f>IF(VLOOKUP(BM237,Fundamentus!A:U,15,FALSE)&gt;1,"Bom",IF(VLOOKUP(BM237,Fundamentus!A:U,15,FALSE)&lt;1,"Ruim","n/a"))</f>
        <v>Bom</v>
      </c>
      <c r="EY237" s="17" t="str">
        <f>IF(VLOOKUP(BM237,Fundamentus!A:U,20,FALSE)&lt;0.5,"Baixa",IF(VLOOKUP(BM237,Fundamentus!A:U,20,FALSE)&lt;1,"Moderada",IF(VLOOKUP(BM237,Fundamentus!A:U,20,FALSE)&lt;2,"Alerta",IF(VLOOKUP(BM237,Fundamentus!A:U,20,FALSE)&gt;2,"Alta","n/a"))))</f>
        <v>Baixa</v>
      </c>
    </row>
    <row r="238" spans="1:155" s="2" customFormat="1" ht="11.25" x14ac:dyDescent="0.2">
      <c r="A238" s="4">
        <v>9.36</v>
      </c>
      <c r="B238" s="4">
        <v>9.17</v>
      </c>
      <c r="C238" s="4">
        <v>9.24</v>
      </c>
      <c r="D238" s="4">
        <v>9.3000000000000007</v>
      </c>
      <c r="E238" s="4">
        <v>9.3800000000000008</v>
      </c>
      <c r="F238" s="4">
        <v>8.75</v>
      </c>
      <c r="G238" s="4">
        <v>8.6999999999999993</v>
      </c>
      <c r="H238" s="4">
        <v>8.92</v>
      </c>
      <c r="I238" s="4">
        <v>9.15</v>
      </c>
      <c r="J238" s="4">
        <v>9.89</v>
      </c>
      <c r="K238" s="4">
        <v>9.9600000000000009</v>
      </c>
      <c r="L238" s="4">
        <v>10.210000000000001</v>
      </c>
      <c r="M238" s="4">
        <v>10.29</v>
      </c>
      <c r="N238" s="4">
        <v>10.25</v>
      </c>
      <c r="O238" s="4">
        <v>10.37</v>
      </c>
      <c r="P238" s="4">
        <v>11.3</v>
      </c>
      <c r="Q238" s="4">
        <v>8.26</v>
      </c>
      <c r="R238" s="4">
        <v>7.96</v>
      </c>
      <c r="S238" s="4">
        <v>7.9</v>
      </c>
      <c r="T238" s="4">
        <v>7.95</v>
      </c>
      <c r="U238" s="4">
        <v>7.84</v>
      </c>
      <c r="V238" s="4">
        <v>7.7</v>
      </c>
      <c r="W238" s="4">
        <v>7.77</v>
      </c>
      <c r="X238" s="4">
        <v>7.7</v>
      </c>
      <c r="Y238" s="4">
        <v>8.02</v>
      </c>
      <c r="Z238" s="4">
        <v>8.3699999999999992</v>
      </c>
      <c r="AA238" s="4">
        <v>8.43</v>
      </c>
      <c r="AB238" s="4">
        <v>8.59</v>
      </c>
      <c r="AC238" s="4">
        <v>8.48</v>
      </c>
      <c r="AD238" s="4">
        <v>8.41</v>
      </c>
      <c r="AE238" s="4">
        <v>7.99</v>
      </c>
      <c r="AF238" s="4">
        <v>8.2100000000000009</v>
      </c>
      <c r="AG238" s="4">
        <v>5.45</v>
      </c>
      <c r="AH238" s="4">
        <v>4.8600000000000003</v>
      </c>
      <c r="AI238" s="4">
        <v>4.96</v>
      </c>
      <c r="AJ238" s="4">
        <v>5.55</v>
      </c>
      <c r="AK238" s="4">
        <v>5.04</v>
      </c>
      <c r="AL238" s="4">
        <v>4.99</v>
      </c>
      <c r="AM238" s="4">
        <v>4.92</v>
      </c>
      <c r="AN238" s="4">
        <v>4.92</v>
      </c>
      <c r="AO238" s="4">
        <v>5.07</v>
      </c>
      <c r="AP238" s="4">
        <v>5.17</v>
      </c>
      <c r="AQ238" s="4">
        <v>4.84</v>
      </c>
      <c r="AR238" s="4">
        <v>4.5</v>
      </c>
      <c r="AS238" s="4">
        <v>4.76</v>
      </c>
      <c r="AT238" s="4">
        <v>4.8499999999999996</v>
      </c>
      <c r="AU238" s="4">
        <v>5.01</v>
      </c>
      <c r="AV238" s="4">
        <v>4.7699999999999996</v>
      </c>
      <c r="AW238" s="4">
        <v>4.9000000000000004</v>
      </c>
      <c r="AX238" s="4">
        <v>5.04</v>
      </c>
      <c r="AY238" s="12">
        <v>5.31</v>
      </c>
      <c r="AZ238" s="12">
        <v>5.64</v>
      </c>
      <c r="BA238" s="12">
        <v>5.0599999999999996</v>
      </c>
      <c r="BB238" s="15">
        <v>5.3</v>
      </c>
      <c r="BC238" s="52">
        <v>5.87</v>
      </c>
      <c r="BD238" s="52">
        <v>6.07</v>
      </c>
      <c r="BE238" s="52">
        <v>6.06</v>
      </c>
      <c r="BF238" s="52">
        <v>5.42</v>
      </c>
      <c r="BG238" s="67">
        <v>5.67</v>
      </c>
      <c r="BH238" s="52">
        <v>6.07</v>
      </c>
      <c r="BI238" s="52">
        <v>6.4</v>
      </c>
      <c r="BJ238" s="52">
        <v>6.06</v>
      </c>
      <c r="BK238" s="52">
        <v>6.04</v>
      </c>
      <c r="BL238" s="52" cm="1">
        <f t="array" aca="1" ref="BL238" ca="1">_FV(EC238,"Preço")</f>
        <v>6.04</v>
      </c>
      <c r="BM238" s="69" t="s">
        <v>234</v>
      </c>
      <c r="BN238" s="36" cm="1">
        <f t="array" aca="1" ref="BN238" ca="1">_FV(EC238,"Média de volume",TRUE)</f>
        <v>526470</v>
      </c>
      <c r="BO238" s="36">
        <v>293600</v>
      </c>
      <c r="BP238" s="36" cm="1">
        <f t="array" aca="1" ref="BP238" ca="1">_FV(EC238,"Volume")</f>
        <v>293600</v>
      </c>
      <c r="BQ238" s="24" cm="1">
        <f t="array" aca="1" ref="BQ238" ca="1">_FV(EC238,"Beta")</f>
        <v>0.80730000000000002</v>
      </c>
      <c r="BR238" s="71" cm="1">
        <f t="array" aca="1" ref="BR238" ca="1">_FV(EC238,"Variação (%)",TRUE)</f>
        <v>-8.2100000000000003E-3</v>
      </c>
      <c r="BT238" s="17" cm="1">
        <f t="array" aca="1" ref="BT238" ca="1">_FV(EC238,"Baixo")</f>
        <v>6.02</v>
      </c>
      <c r="BU238" s="17" cm="1">
        <f t="array" aca="1" ref="BU238" ca="1">_FV(EC238,"Alto")</f>
        <v>6.15</v>
      </c>
      <c r="BV238" s="24"/>
      <c r="BW238" s="63">
        <f ca="1">SQRT(22.5*(BL238/VLOOKUP(BM238,Fundamentus!A:U,3,FALSE))*(BL238/VLOOKUP(BM238,Fundamentus!A:U,4,FALSE)))</f>
        <v>25.890998702281678</v>
      </c>
      <c r="BY238" s="62">
        <f t="shared" ca="1" si="241"/>
        <v>0</v>
      </c>
      <c r="BZ238" s="8"/>
      <c r="CA238" s="61">
        <f t="shared" si="242"/>
        <v>4.5</v>
      </c>
      <c r="CB238" s="61">
        <f t="shared" si="243"/>
        <v>11.3</v>
      </c>
      <c r="CC238" s="61">
        <f t="shared" si="244"/>
        <v>7.117301587301589</v>
      </c>
      <c r="CD238" s="14"/>
      <c r="CE238" s="35">
        <f t="shared" si="227"/>
        <v>5.4905856741616299</v>
      </c>
      <c r="CF238" s="15">
        <f t="shared" si="245"/>
        <v>6.1209999999999809</v>
      </c>
      <c r="CG238" s="35">
        <f t="shared" si="228"/>
        <v>6.7514143258383319</v>
      </c>
      <c r="CI238" s="14"/>
      <c r="CJ238" s="17">
        <f t="shared" si="229"/>
        <v>-3.5266666666666691</v>
      </c>
      <c r="CK238" s="17">
        <f t="shared" si="230"/>
        <v>0.48666666666666547</v>
      </c>
      <c r="CL238" s="17">
        <f t="shared" si="231"/>
        <v>3.2733333333333317</v>
      </c>
      <c r="CM238" s="38">
        <f t="shared" si="246"/>
        <v>7.2866666666666662</v>
      </c>
      <c r="CN238" s="17">
        <f t="shared" si="232"/>
        <v>10.073333333333332</v>
      </c>
      <c r="CO238" s="17">
        <f t="shared" si="233"/>
        <v>14.086666666666666</v>
      </c>
      <c r="CP238" s="17">
        <f t="shared" si="234"/>
        <v>16.873333333333335</v>
      </c>
      <c r="CQ238" s="2" cm="1">
        <f t="array" aca="1" ref="CQ238" ca="1">MAX(_xlfn._xlws.FILTER(CJ238:CP238,CJ238:CP238&lt;BL238))</f>
        <v>3.2733333333333317</v>
      </c>
      <c r="CR238" s="2" cm="1">
        <f t="array" aca="1" ref="CR238" ca="1">MIN(_xlfn._xlws.FILTER($CJ238:$CP238,$CJ238:$CP238&gt;BL238))</f>
        <v>7.2866666666666662</v>
      </c>
      <c r="CS238" s="16">
        <f t="shared" ca="1" si="248"/>
        <v>1.2260692464358462</v>
      </c>
      <c r="CT238" s="20">
        <f t="shared" ca="1" si="249"/>
        <v>-0.61303462321792312</v>
      </c>
      <c r="CU238" s="20">
        <f t="shared" ca="1" si="250"/>
        <v>-0.40868974881194875</v>
      </c>
      <c r="CV238" s="20">
        <f t="shared" ca="1" si="251"/>
        <v>-0.24521384928716924</v>
      </c>
      <c r="CW238" s="20">
        <f t="shared" ca="1" si="252"/>
        <v>-0.13622991627064959</v>
      </c>
      <c r="CX238" s="20">
        <f t="shared" ca="1" si="253"/>
        <v>-7.2121720378579196E-2</v>
      </c>
      <c r="CY238" s="20">
        <f t="shared" ca="1" si="254"/>
        <v>-3.7153613528358977E-2</v>
      </c>
      <c r="CZ238" s="20">
        <f t="shared" ca="1" si="255"/>
        <v>-1.8862603791320712E-2</v>
      </c>
      <c r="DA238" s="21">
        <f t="shared" ca="1" si="256"/>
        <v>1.8862603791320712E-2</v>
      </c>
      <c r="DB238" s="21">
        <f t="shared" ca="1" si="257"/>
        <v>3.7153613528358977E-2</v>
      </c>
      <c r="DC238" s="21">
        <f t="shared" ca="1" si="258"/>
        <v>7.2121720378579196E-2</v>
      </c>
      <c r="DD238" s="21">
        <f t="shared" ca="1" si="259"/>
        <v>0.13622991627064959</v>
      </c>
      <c r="DE238" s="21">
        <f t="shared" ca="1" si="260"/>
        <v>0.24521384928716924</v>
      </c>
      <c r="DF238" s="21">
        <f t="shared" ca="1" si="261"/>
        <v>0.40868974881194875</v>
      </c>
      <c r="DG238" s="21">
        <f t="shared" ca="1" si="262"/>
        <v>0.61303462321792312</v>
      </c>
      <c r="DI238" s="16" cm="1">
        <f t="array" aca="1" ref="DI238" ca="1">MAX(_xlfn._xlws.FILTER(CT238:DG238,CT238:DG238&lt;BR238))</f>
        <v>-1.8862603791320712E-2</v>
      </c>
      <c r="DJ238" s="16" cm="1">
        <f t="array" aca="1" ref="DJ238" ca="1">MIN(_xlfn._xlws.FILTER(CT238:DG238,CT238:DG238&gt;BR238))</f>
        <v>1.8862603791320712E-2</v>
      </c>
      <c r="DK238" s="2" cm="1">
        <f t="array" aca="1" ref="DK238" ca="1">_FV(EC238,"Fechamento anterior",TRUE)</f>
        <v>6.09</v>
      </c>
      <c r="DL238" s="28">
        <f t="shared" ca="1" si="235"/>
        <v>0.28236884168262422</v>
      </c>
      <c r="DM238" s="15">
        <f t="shared" ca="1" si="263"/>
        <v>5.9751267429108568</v>
      </c>
      <c r="DN238" s="15">
        <f t="shared" ca="1" si="264"/>
        <v>6.2048732570891429</v>
      </c>
      <c r="DO238" s="9"/>
      <c r="DP238" s="9"/>
      <c r="DQ238" s="9"/>
      <c r="DR238" s="89">
        <v>7.5371687136393056E-2</v>
      </c>
      <c r="DS238" s="89">
        <v>4.2307692307692338E-2</v>
      </c>
      <c r="DT238" s="89">
        <v>3.7725207582641425E-2</v>
      </c>
      <c r="DU238" s="89">
        <v>3.7725207582641425E-2</v>
      </c>
      <c r="DV238" s="89">
        <f t="shared" ca="1" si="236"/>
        <v>3.7725207582641425E-2</v>
      </c>
      <c r="DW238" s="72">
        <f t="shared" ca="1" si="237"/>
        <v>-0.12848692785060639</v>
      </c>
      <c r="DX238" s="37"/>
      <c r="DY238" s="35">
        <f t="shared" si="247"/>
        <v>0.3152071629191755</v>
      </c>
      <c r="DZ238" s="56"/>
      <c r="EA238" s="56"/>
      <c r="EC238" s="2" t="e" vm="240">
        <v>#VALUE!</v>
      </c>
      <c r="EE238" s="10" cm="1">
        <f t="array" aca="1" ref="EE238" ca="1">_FV(EC238,"Ações em circulação",TRUE)</f>
        <v>152644400</v>
      </c>
      <c r="EF238" s="18">
        <f>VLOOKUP(BM238,Fundamentus!A:U,5,FALSE)</f>
        <v>0.65100000000000002</v>
      </c>
      <c r="EG238" s="2">
        <f t="shared" ca="1" si="238"/>
        <v>1416239901.689708</v>
      </c>
      <c r="EH238" s="17">
        <v>714917902.37296462</v>
      </c>
      <c r="EI238" s="17">
        <f t="shared" ca="1" si="239"/>
        <v>714917902.37296462</v>
      </c>
      <c r="EK238" s="16">
        <f t="shared" ca="1" si="226"/>
        <v>0</v>
      </c>
      <c r="EL238" s="32" t="str">
        <f>IF(VLOOKUP(BM238,Fundamentus!A:U,3,FALSE)&lt;15,"Bom",IF(VLOOKUP(BM238,Fundamentus!A:U,3,FALSE)&gt;15,"Ruim","n/a"))</f>
        <v>Bom</v>
      </c>
      <c r="EM238" s="28" t="str">
        <f>IF(VLOOKUP(BM238,Fundamentus!A:U,4,FALSE)&lt;1,"Baixo",IF(VLOOKUP(BM238,Fundamentus!A:U,4,FALSE)&lt;1.5,"Moderado",IF(VLOOKUP(BM238,Fundamentus!A:U,4,FALSE)&gt;1.5,"Alto","n/a")))</f>
        <v>Baixo</v>
      </c>
      <c r="EN238" s="17" t="str">
        <f>IF(VLOOKUP(BM238,Fundamentus!A:U,8,FALSE)&lt;0,"Risco elevado",IF(VLOOKUP(BM238,Fundamentus!A:U,8,FALSE)&lt;1,"Saudável",IF(VLOOKUP(BM238,Fundamentus!A:U,8,FALSE)&lt;3,"Estável",IF(VLOOKUP(BM238,Fundamentus!A:U,8,FALSE)&gt;3,"Alerta","n/a"))))</f>
        <v>Saudável</v>
      </c>
      <c r="EO238" s="28" t="str">
        <f t="shared" si="240"/>
        <v>Ruim</v>
      </c>
      <c r="EP238" s="17" t="str">
        <f>IF(VLOOKUP(BM238,Fundamentus!A:U,12,FALSE)&lt;2,"Subvalorizada",IF(VLOOKUP(BM238,Fundamentus!A:U,12,FALSE)&lt;6,"Muita barata",IF(VLOOKUP(BM238,Fundamentus!A:U,12,FALSE)&lt;6,"Barata",IF(VLOOKUP(BM238,Fundamentus!A:U,12,FALSE)&lt;8,"Atrativa",IF(VLOOKUP(BM238,Fundamentus!A:U,12,FALSE)&gt;8,"Supervalorizada","n/a")))))</f>
        <v>Muita barata</v>
      </c>
      <c r="ER238" s="17" t="str">
        <f>IF(VLOOKUP(BM238,Fundamentus!A:U,17,FALSE)&lt;0.1,"Fraco retorno",IF(VLOOKUP(BM238,Fundamentus!A:U,17,FALSE)&gt;0.1,"Bom retorno","n/a"))</f>
        <v>Bom retorno</v>
      </c>
      <c r="ES238" s="17" t="str">
        <f>IF(VLOOKUP(BM238,Fundamentus!A:U,16,FALSE)&lt;0.1,"Ineficiente",IF(VLOOKUP(BM238,Fundamentus!A:U,16,FALSE)&gt;0.1,"Eficiente","n/a"))</f>
        <v>Eficiente</v>
      </c>
      <c r="ET238" s="33" t="str">
        <f>IF(VLOOKUP(BM238,Fundamentus!A:U,16,FALSE)&lt;0.1,"Oper. Ineficiente",IF(VLOOKUP(BM238,Fundamentus!A:U,16,FALSE)&gt;0.1,"Oper.Eficiente","n/a"))</f>
        <v>Oper.Eficiente</v>
      </c>
      <c r="EU238" s="34">
        <f>VLOOKUP(BM238,Fundamentus!A:U,14,FALSE)</f>
        <v>0.50480000000000003</v>
      </c>
      <c r="EV238" s="17" t="str">
        <f>IF(VLOOKUP(BM238,Fundamentus!A:U,21,FALSE)&lt;0,"Negativo",IF(VLOOKUP(BM238,Fundamentus!A:U,21,FALSE)&lt;0.05,"Fraco",IF(VLOOKUP(BM238,Fundamentus!A:U,21,FALSE)&lt;0.1,"Bom",IF(VLOOKUP(BM238,Fundamentus!A:U,21,FALSE)&gt;0.1,"Muito bom","n/a"))))</f>
        <v>Fraco</v>
      </c>
      <c r="EX238" s="29" t="str">
        <f>IF(VLOOKUP(BM238,Fundamentus!A:U,15,FALSE)&gt;1,"Bom",IF(VLOOKUP(BM238,Fundamentus!A:U,15,FALSE)&lt;1,"Ruim","n/a"))</f>
        <v>Bom</v>
      </c>
      <c r="EY238" s="17" t="str">
        <f>IF(VLOOKUP(BM238,Fundamentus!A:U,20,FALSE)&lt;0.5,"Baixa",IF(VLOOKUP(BM238,Fundamentus!A:U,20,FALSE)&lt;1,"Moderada",IF(VLOOKUP(BM238,Fundamentus!A:U,20,FALSE)&lt;2,"Alerta",IF(VLOOKUP(BM238,Fundamentus!A:U,20,FALSE)&gt;2,"Alta","n/a"))))</f>
        <v>Moderada</v>
      </c>
    </row>
    <row r="239" spans="1:155" s="2" customFormat="1" ht="11.25" x14ac:dyDescent="0.2">
      <c r="A239" s="4">
        <v>7.19</v>
      </c>
      <c r="B239" s="4">
        <v>7.34</v>
      </c>
      <c r="C239" s="4">
        <v>7.28</v>
      </c>
      <c r="D239" s="4">
        <v>6.86</v>
      </c>
      <c r="E239" s="4">
        <v>6.93</v>
      </c>
      <c r="F239" s="4">
        <v>6.87</v>
      </c>
      <c r="G239" s="4">
        <v>6.85</v>
      </c>
      <c r="H239" s="4">
        <v>6.63</v>
      </c>
      <c r="I239" s="4">
        <v>6.66</v>
      </c>
      <c r="J239" s="4">
        <v>6.98</v>
      </c>
      <c r="K239" s="4">
        <v>6.96</v>
      </c>
      <c r="L239" s="4">
        <v>6.74</v>
      </c>
      <c r="M239" s="4">
        <v>6.73</v>
      </c>
      <c r="N239" s="4">
        <v>6.72</v>
      </c>
      <c r="O239" s="4">
        <v>7.18</v>
      </c>
      <c r="P239" s="4">
        <v>7.27</v>
      </c>
      <c r="Q239" s="4">
        <v>7.55</v>
      </c>
      <c r="R239" s="4">
        <v>7.47</v>
      </c>
      <c r="S239" s="4">
        <v>7.53</v>
      </c>
      <c r="T239" s="4">
        <v>8.0299999999999994</v>
      </c>
      <c r="U239" s="4">
        <v>7.4</v>
      </c>
      <c r="V239" s="4">
        <v>7.34</v>
      </c>
      <c r="W239" s="4">
        <v>7.68</v>
      </c>
      <c r="X239" s="4">
        <v>7.36</v>
      </c>
      <c r="Y239" s="4">
        <v>6.99</v>
      </c>
      <c r="Z239" s="4">
        <v>6.98</v>
      </c>
      <c r="AA239" s="4">
        <v>6.75</v>
      </c>
      <c r="AB239" s="4">
        <v>6.93</v>
      </c>
      <c r="AC239" s="4">
        <v>6.44</v>
      </c>
      <c r="AD239" s="4">
        <v>6.38</v>
      </c>
      <c r="AE239" s="4">
        <v>5.26</v>
      </c>
      <c r="AF239" s="4">
        <v>5.0199999999999996</v>
      </c>
      <c r="AG239" s="4">
        <v>5.03</v>
      </c>
      <c r="AH239" s="4">
        <v>5.26</v>
      </c>
      <c r="AI239" s="4">
        <v>5.35</v>
      </c>
      <c r="AJ239" s="4">
        <v>5.12</v>
      </c>
      <c r="AK239" s="4">
        <v>5.09</v>
      </c>
      <c r="AL239" s="4">
        <v>5.27</v>
      </c>
      <c r="AM239" s="4">
        <v>5.18</v>
      </c>
      <c r="AN239" s="4">
        <v>5.64</v>
      </c>
      <c r="AO239" s="4">
        <v>5.45</v>
      </c>
      <c r="AP239" s="4">
        <v>5.8</v>
      </c>
      <c r="AQ239" s="4">
        <v>5.74</v>
      </c>
      <c r="AR239" s="4">
        <v>4.51</v>
      </c>
      <c r="AS239" s="4">
        <v>4.7699999999999996</v>
      </c>
      <c r="AT239" s="4">
        <v>5.0199999999999996</v>
      </c>
      <c r="AU239" s="4">
        <v>5.1349999999999998</v>
      </c>
      <c r="AV239" s="4">
        <v>5.2</v>
      </c>
      <c r="AW239" s="4">
        <v>4.99</v>
      </c>
      <c r="AX239" s="4">
        <v>4.93</v>
      </c>
      <c r="AY239" s="12">
        <v>5.57</v>
      </c>
      <c r="AZ239" s="12">
        <v>6.11</v>
      </c>
      <c r="BA239" s="12">
        <v>5.92</v>
      </c>
      <c r="BB239" s="15">
        <v>6.15</v>
      </c>
      <c r="BC239" s="52">
        <v>5.49</v>
      </c>
      <c r="BD239" s="52">
        <v>5.07</v>
      </c>
      <c r="BE239" s="52">
        <v>5.29</v>
      </c>
      <c r="BF239" s="52">
        <v>5.92</v>
      </c>
      <c r="BG239" s="67">
        <v>5.76</v>
      </c>
      <c r="BH239" s="52">
        <v>5.86</v>
      </c>
      <c r="BI239" s="52">
        <v>5.92</v>
      </c>
      <c r="BJ239" s="52">
        <v>6.29</v>
      </c>
      <c r="BK239" s="52">
        <v>6.12</v>
      </c>
      <c r="BL239" s="52" cm="1">
        <f t="array" aca="1" ref="BL239" ca="1">_FV(EC239,"Preço")</f>
        <v>6.12</v>
      </c>
      <c r="BM239" s="69" t="s">
        <v>235</v>
      </c>
      <c r="BN239" s="36" cm="1">
        <f t="array" aca="1" ref="BN239" ca="1">_FV(EC239,"Média de volume",TRUE)</f>
        <v>7669130</v>
      </c>
      <c r="BO239" s="36">
        <v>16699200</v>
      </c>
      <c r="BP239" s="36" cm="1">
        <f t="array" aca="1" ref="BP239" ca="1">_FV(EC239,"Volume")</f>
        <v>16699200</v>
      </c>
      <c r="BQ239" s="24" cm="1">
        <f t="array" aca="1" ref="BQ239" ca="1">_FV(EC239,"Beta")</f>
        <v>1.6616</v>
      </c>
      <c r="BR239" s="71" cm="1">
        <f t="array" aca="1" ref="BR239" ca="1">_FV(EC239,"Variação (%)",TRUE)</f>
        <v>3.5533000000000002E-2</v>
      </c>
      <c r="BT239" s="17" cm="1">
        <f t="array" aca="1" ref="BT239" ca="1">_FV(EC239,"Baixo")</f>
        <v>5.89</v>
      </c>
      <c r="BU239" s="17" cm="1">
        <f t="array" aca="1" ref="BU239" ca="1">_FV(EC239,"Alto")</f>
        <v>6.23</v>
      </c>
      <c r="BV239" s="24"/>
      <c r="BW239" s="60" t="e">
        <f ca="1">SQRT(22.5*(BL239/VLOOKUP(BM239,Fundamentus!A:U,3,FALSE))*(BL239/VLOOKUP(BM239,Fundamentus!A:U,4,FALSE)))</f>
        <v>#NUM!</v>
      </c>
      <c r="BY239" s="62">
        <f t="shared" ca="1" si="241"/>
        <v>0</v>
      </c>
      <c r="BZ239" s="8"/>
      <c r="CA239" s="61">
        <f t="shared" si="242"/>
        <v>4.51</v>
      </c>
      <c r="CB239" s="61">
        <f t="shared" si="243"/>
        <v>8.0299999999999994</v>
      </c>
      <c r="CC239" s="61">
        <f t="shared" si="244"/>
        <v>6.2103968253968258</v>
      </c>
      <c r="CD239" s="14"/>
      <c r="CE239" s="35">
        <f t="shared" si="227"/>
        <v>5.7531635480953174</v>
      </c>
      <c r="CF239" s="15">
        <f t="shared" si="245"/>
        <v>6.1050000000000182</v>
      </c>
      <c r="CG239" s="35">
        <f t="shared" si="228"/>
        <v>6.456836451904719</v>
      </c>
      <c r="CI239" s="14"/>
      <c r="CJ239" s="17">
        <f t="shared" si="229"/>
        <v>1.0033333333333339</v>
      </c>
      <c r="CK239" s="17">
        <f t="shared" si="230"/>
        <v>2.7566666666666668</v>
      </c>
      <c r="CL239" s="17">
        <f t="shared" si="231"/>
        <v>4.5233333333333334</v>
      </c>
      <c r="CM239" s="38">
        <f t="shared" si="246"/>
        <v>6.2766666666666664</v>
      </c>
      <c r="CN239" s="17">
        <f t="shared" si="232"/>
        <v>8.043333333333333</v>
      </c>
      <c r="CO239" s="17">
        <f t="shared" si="233"/>
        <v>9.7966666666666669</v>
      </c>
      <c r="CP239" s="17">
        <f t="shared" si="234"/>
        <v>11.563333333333333</v>
      </c>
      <c r="CQ239" s="2" cm="1">
        <f t="array" aca="1" ref="CQ239" ca="1">MAX(_xlfn._xlws.FILTER(CJ239:CP239,CJ239:CP239&lt;BL239))</f>
        <v>4.5233333333333334</v>
      </c>
      <c r="CR239" s="2" cm="1">
        <f t="array" aca="1" ref="CR239" ca="1">MIN(_xlfn._xlws.FILTER($CJ239:$CP239,$CJ239:$CP239&gt;BL239))</f>
        <v>6.2766666666666664</v>
      </c>
      <c r="CS239" s="16">
        <f t="shared" ca="1" si="248"/>
        <v>0.38761974944731015</v>
      </c>
      <c r="CT239" s="20">
        <f t="shared" ca="1" si="249"/>
        <v>-0.19380987472365507</v>
      </c>
      <c r="CU239" s="20">
        <f t="shared" ca="1" si="250"/>
        <v>-0.12920658314910338</v>
      </c>
      <c r="CV239" s="20">
        <f t="shared" ca="1" si="251"/>
        <v>-7.7523949889462027E-2</v>
      </c>
      <c r="CW239" s="20">
        <f t="shared" ca="1" si="252"/>
        <v>-4.3068861049701125E-2</v>
      </c>
      <c r="CX239" s="20">
        <f t="shared" ca="1" si="253"/>
        <v>-2.2801161732194715E-2</v>
      </c>
      <c r="CY239" s="20">
        <f t="shared" ca="1" si="254"/>
        <v>-1.1746053013554853E-2</v>
      </c>
      <c r="CZ239" s="20">
        <f t="shared" ca="1" si="255"/>
        <v>-5.9633807607278487E-3</v>
      </c>
      <c r="DA239" s="21">
        <f t="shared" ca="1" si="256"/>
        <v>5.9633807607278487E-3</v>
      </c>
      <c r="DB239" s="21">
        <f t="shared" ca="1" si="257"/>
        <v>1.1746053013554853E-2</v>
      </c>
      <c r="DC239" s="21">
        <f t="shared" ca="1" si="258"/>
        <v>2.2801161732194715E-2</v>
      </c>
      <c r="DD239" s="21">
        <f t="shared" ca="1" si="259"/>
        <v>4.3068861049701125E-2</v>
      </c>
      <c r="DE239" s="21">
        <f t="shared" ca="1" si="260"/>
        <v>7.7523949889462027E-2</v>
      </c>
      <c r="DF239" s="21">
        <f t="shared" ca="1" si="261"/>
        <v>0.12920658314910338</v>
      </c>
      <c r="DG239" s="21">
        <f t="shared" ca="1" si="262"/>
        <v>0.19380987472365507</v>
      </c>
      <c r="DI239" s="16" cm="1">
        <f t="array" aca="1" ref="DI239" ca="1">MAX(_xlfn._xlws.FILTER(CT239:DG239,CT239:DG239&lt;BR239))</f>
        <v>2.2801161732194715E-2</v>
      </c>
      <c r="DJ239" s="16" cm="1">
        <f t="array" aca="1" ref="DJ239" ca="1">MIN(_xlfn._xlws.FILTER(CT239:DG239,CT239:DG239&gt;BR239))</f>
        <v>4.3068861049701125E-2</v>
      </c>
      <c r="DK239" s="2" cm="1">
        <f t="array" aca="1" ref="DK239" ca="1">_FV(EC239,"Fechamento anterior",TRUE)</f>
        <v>5.91</v>
      </c>
      <c r="DL239" s="28">
        <f t="shared" ca="1" si="235"/>
        <v>0.62818344560035477</v>
      </c>
      <c r="DM239" s="15">
        <f t="shared" ca="1" si="263"/>
        <v>6.0447548658372705</v>
      </c>
      <c r="DN239" s="15">
        <f t="shared" ca="1" si="264"/>
        <v>6.1645369688037341</v>
      </c>
      <c r="DO239" s="9"/>
      <c r="DP239" s="9"/>
      <c r="DQ239" s="9"/>
      <c r="DR239" s="89">
        <v>8.72829187728341E-3</v>
      </c>
      <c r="DS239" s="89">
        <v>1.3200135079102506E-2</v>
      </c>
      <c r="DT239" s="89">
        <v>1.4717163197373123E-2</v>
      </c>
      <c r="DU239" s="89">
        <v>2.026769931750641E-2</v>
      </c>
      <c r="DV239" s="89">
        <f t="shared" ca="1" si="236"/>
        <v>2.026769931750641E-2</v>
      </c>
      <c r="DW239" s="72">
        <f t="shared" ca="1" si="237"/>
        <v>4.2633444939482422E-2</v>
      </c>
      <c r="DX239" s="37"/>
      <c r="DY239" s="35">
        <f t="shared" si="247"/>
        <v>0.17591822595235046</v>
      </c>
      <c r="DZ239" s="56"/>
      <c r="EA239" s="56"/>
      <c r="EC239" s="2" t="e" vm="241">
        <v>#VALUE!</v>
      </c>
      <c r="EE239" s="10" cm="1">
        <f t="array" aca="1" ref="EE239" ca="1">_FV(EC239,"Ações em circulação",TRUE)</f>
        <v>562826700</v>
      </c>
      <c r="EF239" s="18">
        <f>VLOOKUP(BM239,Fundamentus!A:U,5,FALSE)</f>
        <v>0.34499999999999997</v>
      </c>
      <c r="EG239" s="2">
        <f t="shared" ca="1" si="238"/>
        <v>9984056243.4782619</v>
      </c>
      <c r="EH239" s="17">
        <v>-719850455.15478265</v>
      </c>
      <c r="EI239" s="17">
        <f t="shared" ca="1" si="239"/>
        <v>-719850455.15478265</v>
      </c>
      <c r="EK239" s="16">
        <f t="shared" ca="1" si="226"/>
        <v>0</v>
      </c>
      <c r="EL239" s="32" t="str">
        <f>IF(VLOOKUP(BM239,Fundamentus!A:U,3,FALSE)&lt;15,"Bom",IF(VLOOKUP(BM239,Fundamentus!A:U,3,FALSE)&gt;15,"Ruim","n/a"))</f>
        <v>Bom</v>
      </c>
      <c r="EM239" s="28" t="str">
        <f>IF(VLOOKUP(BM239,Fundamentus!A:U,4,FALSE)&lt;1,"Baixo",IF(VLOOKUP(BM239,Fundamentus!A:U,4,FALSE)&lt;1.5,"Moderado",IF(VLOOKUP(BM239,Fundamentus!A:U,4,FALSE)&gt;1.5,"Alto","n/a")))</f>
        <v>Baixo</v>
      </c>
      <c r="EN239" s="17" t="str">
        <f>IF(VLOOKUP(BM239,Fundamentus!A:U,8,FALSE)&lt;0,"Risco elevado",IF(VLOOKUP(BM239,Fundamentus!A:U,8,FALSE)&lt;1,"Saudável",IF(VLOOKUP(BM239,Fundamentus!A:U,8,FALSE)&lt;3,"Estável",IF(VLOOKUP(BM239,Fundamentus!A:U,8,FALSE)&gt;3,"Alerta","n/a"))))</f>
        <v>Saudável</v>
      </c>
      <c r="EO239" s="28" t="str">
        <f t="shared" si="240"/>
        <v>Ruim</v>
      </c>
      <c r="EP239" s="17" t="str">
        <f>IF(VLOOKUP(BM239,Fundamentus!A:U,12,FALSE)&lt;2,"Subvalorizada",IF(VLOOKUP(BM239,Fundamentus!A:U,12,FALSE)&lt;6,"Muita barata",IF(VLOOKUP(BM239,Fundamentus!A:U,12,FALSE)&lt;6,"Barata",IF(VLOOKUP(BM239,Fundamentus!A:U,12,FALSE)&lt;8,"Atrativa",IF(VLOOKUP(BM239,Fundamentus!A:U,12,FALSE)&gt;8,"Supervalorizada","n/a")))))</f>
        <v>Supervalorizada</v>
      </c>
      <c r="ER239" s="17" t="str">
        <f>IF(VLOOKUP(BM239,Fundamentus!A:U,17,FALSE)&lt;0.1,"Fraco retorno",IF(VLOOKUP(BM239,Fundamentus!A:U,17,FALSE)&gt;0.1,"Bom retorno","n/a"))</f>
        <v>Fraco retorno</v>
      </c>
      <c r="ES239" s="17" t="str">
        <f>IF(VLOOKUP(BM239,Fundamentus!A:U,16,FALSE)&lt;0.1,"Ineficiente",IF(VLOOKUP(BM239,Fundamentus!A:U,16,FALSE)&gt;0.1,"Eficiente","n/a"))</f>
        <v>Ineficiente</v>
      </c>
      <c r="ET239" s="33" t="str">
        <f>IF(VLOOKUP(BM239,Fundamentus!A:U,16,FALSE)&lt;0.1,"Oper. Ineficiente",IF(VLOOKUP(BM239,Fundamentus!A:U,16,FALSE)&gt;0.1,"Oper.Eficiente","n/a"))</f>
        <v>Oper. Ineficiente</v>
      </c>
      <c r="EU239" s="34">
        <f>VLOOKUP(BM239,Fundamentus!A:U,14,FALSE)</f>
        <v>-7.2099999999999997E-2</v>
      </c>
      <c r="EV239" s="17" t="str">
        <f>IF(VLOOKUP(BM239,Fundamentus!A:U,21,FALSE)&lt;0,"Negativo",IF(VLOOKUP(BM239,Fundamentus!A:U,21,FALSE)&lt;0.05,"Fraco",IF(VLOOKUP(BM239,Fundamentus!A:U,21,FALSE)&lt;0.1,"Bom",IF(VLOOKUP(BM239,Fundamentus!A:U,21,FALSE)&gt;0.1,"Muito bom","n/a"))))</f>
        <v>Bom</v>
      </c>
      <c r="EX239" s="29" t="str">
        <f>IF(VLOOKUP(BM239,Fundamentus!A:U,15,FALSE)&gt;1,"Bom",IF(VLOOKUP(BM239,Fundamentus!A:U,15,FALSE)&lt;1,"Ruim","n/a"))</f>
        <v>Bom</v>
      </c>
      <c r="EY239" s="17" t="str">
        <f>IF(VLOOKUP(BM239,Fundamentus!A:U,20,FALSE)&lt;0.5,"Baixa",IF(VLOOKUP(BM239,Fundamentus!A:U,20,FALSE)&lt;1,"Moderada",IF(VLOOKUP(BM239,Fundamentus!A:U,20,FALSE)&lt;2,"Alerta",IF(VLOOKUP(BM239,Fundamentus!A:U,20,FALSE)&gt;2,"Alta","n/a"))))</f>
        <v>Alerta</v>
      </c>
    </row>
    <row r="240" spans="1:155" s="2" customFormat="1" ht="11.25" x14ac:dyDescent="0.2">
      <c r="A240" s="4">
        <v>7.62</v>
      </c>
      <c r="B240" s="4">
        <v>7.24</v>
      </c>
      <c r="C240" s="4">
        <v>7.06</v>
      </c>
      <c r="D240" s="4">
        <v>6.45</v>
      </c>
      <c r="E240" s="4">
        <v>6.48</v>
      </c>
      <c r="F240" s="4">
        <v>6.39</v>
      </c>
      <c r="G240" s="4">
        <v>6.03</v>
      </c>
      <c r="H240" s="4">
        <v>5.94</v>
      </c>
      <c r="I240" s="4">
        <v>6.02</v>
      </c>
      <c r="J240" s="4">
        <v>6.69</v>
      </c>
      <c r="K240" s="4">
        <v>6.85</v>
      </c>
      <c r="L240" s="4">
        <v>6.08</v>
      </c>
      <c r="M240" s="4">
        <v>6.35</v>
      </c>
      <c r="N240" s="4">
        <v>6.62</v>
      </c>
      <c r="O240" s="4">
        <v>7.5</v>
      </c>
      <c r="P240" s="4">
        <v>7.31</v>
      </c>
      <c r="Q240" s="4">
        <v>7.58</v>
      </c>
      <c r="R240" s="4">
        <v>7.14</v>
      </c>
      <c r="S240" s="4">
        <v>6.94</v>
      </c>
      <c r="T240" s="4">
        <v>7.21</v>
      </c>
      <c r="U240" s="4">
        <v>6.53</v>
      </c>
      <c r="V240" s="4">
        <v>6.24</v>
      </c>
      <c r="W240" s="4">
        <v>5.89</v>
      </c>
      <c r="X240" s="4">
        <v>5.52</v>
      </c>
      <c r="Y240" s="4">
        <v>5.76</v>
      </c>
      <c r="Z240" s="4">
        <v>5.9</v>
      </c>
      <c r="AA240" s="4">
        <v>5.67</v>
      </c>
      <c r="AB240" s="4">
        <v>6.35</v>
      </c>
      <c r="AC240" s="4">
        <v>6.13</v>
      </c>
      <c r="AD240" s="4">
        <v>6.98</v>
      </c>
      <c r="AE240" s="4">
        <v>5.24</v>
      </c>
      <c r="AF240" s="4">
        <v>5.03</v>
      </c>
      <c r="AG240" s="4">
        <v>4.21</v>
      </c>
      <c r="AH240" s="4">
        <v>3.79</v>
      </c>
      <c r="AI240" s="4">
        <v>3.64</v>
      </c>
      <c r="AJ240" s="4">
        <v>3.61</v>
      </c>
      <c r="AK240" s="4">
        <v>3.4</v>
      </c>
      <c r="AL240" s="4">
        <v>3.64</v>
      </c>
      <c r="AM240" s="4">
        <v>3.72</v>
      </c>
      <c r="AN240" s="4">
        <v>3.95</v>
      </c>
      <c r="AO240" s="4">
        <v>3.34</v>
      </c>
      <c r="AP240" s="4">
        <v>4.1100000000000003</v>
      </c>
      <c r="AQ240" s="4">
        <v>3.89</v>
      </c>
      <c r="AR240" s="4">
        <v>3.56</v>
      </c>
      <c r="AS240" s="4">
        <v>3.66</v>
      </c>
      <c r="AT240" s="4">
        <v>4.12</v>
      </c>
      <c r="AU240" s="4">
        <v>4.7549999999999999</v>
      </c>
      <c r="AV240" s="4">
        <v>5.0999999999999996</v>
      </c>
      <c r="AW240" s="4">
        <v>5.44</v>
      </c>
      <c r="AX240" s="4">
        <v>5.79</v>
      </c>
      <c r="AY240" s="12">
        <v>6.06</v>
      </c>
      <c r="AZ240" s="12">
        <v>7.18</v>
      </c>
      <c r="BA240" s="12">
        <v>7.07</v>
      </c>
      <c r="BB240" s="15">
        <v>7.68</v>
      </c>
      <c r="BC240" s="52">
        <v>6.86</v>
      </c>
      <c r="BD240" s="52">
        <v>6.62</v>
      </c>
      <c r="BE240" s="52">
        <v>6.95</v>
      </c>
      <c r="BF240" s="52">
        <v>6.59</v>
      </c>
      <c r="BG240" s="67">
        <v>7.72</v>
      </c>
      <c r="BH240" s="52">
        <v>8.27</v>
      </c>
      <c r="BI240" s="52">
        <v>7.11</v>
      </c>
      <c r="BJ240" s="52">
        <v>6.84</v>
      </c>
      <c r="BK240" s="52">
        <v>6.25</v>
      </c>
      <c r="BL240" s="52" cm="1">
        <f t="array" aca="1" ref="BL240" ca="1">_FV(EC240,"Preço")</f>
        <v>6.25</v>
      </c>
      <c r="BM240" s="69" t="s">
        <v>236</v>
      </c>
      <c r="BN240" s="36" cm="1">
        <f t="array" aca="1" ref="BN240" ca="1">_FV(EC240,"Média de volume",TRUE)</f>
        <v>6601580</v>
      </c>
      <c r="BO240" s="36">
        <v>10052500</v>
      </c>
      <c r="BP240" s="36" cm="1">
        <f t="array" aca="1" ref="BP240" ca="1">_FV(EC240,"Volume")</f>
        <v>10052500</v>
      </c>
      <c r="BQ240" s="24" cm="1">
        <f t="array" aca="1" ref="BQ240" ca="1">_FV(EC240,"Beta")</f>
        <v>1.4943</v>
      </c>
      <c r="BR240" s="71" cm="1">
        <f t="array" aca="1" ref="BR240" ca="1">_FV(EC240,"Variação (%)",TRUE)</f>
        <v>-9.5513999999999988E-2</v>
      </c>
      <c r="BT240" s="17" cm="1">
        <f t="array" aca="1" ref="BT240" ca="1">_FV(EC240,"Baixo")</f>
        <v>6.18</v>
      </c>
      <c r="BU240" s="17" cm="1">
        <f t="array" aca="1" ref="BU240" ca="1">_FV(EC240,"Alto")</f>
        <v>6.9</v>
      </c>
      <c r="BV240" s="24"/>
      <c r="BW240" s="63">
        <f ca="1">SQRT(22.5*(BL240/VLOOKUP(BM240,Fundamentus!A:U,3,FALSE))*(BL240/VLOOKUP(BM240,Fundamentus!A:U,4,FALSE)))</f>
        <v>9.1107914742598872</v>
      </c>
      <c r="BY240" s="62">
        <f t="shared" ca="1" si="241"/>
        <v>0</v>
      </c>
      <c r="BZ240" s="8"/>
      <c r="CA240" s="61">
        <f t="shared" si="242"/>
        <v>3.34</v>
      </c>
      <c r="CB240" s="61">
        <f t="shared" si="243"/>
        <v>8.27</v>
      </c>
      <c r="CC240" s="61">
        <f t="shared" si="244"/>
        <v>5.8994444444444438</v>
      </c>
      <c r="CD240" s="14"/>
      <c r="CE240" s="35">
        <f t="shared" si="227"/>
        <v>5.4351791235055389</v>
      </c>
      <c r="CF240" s="15">
        <f t="shared" si="245"/>
        <v>6.8009999999994761</v>
      </c>
      <c r="CG240" s="35">
        <f t="shared" si="228"/>
        <v>8.1668208764934125</v>
      </c>
      <c r="CI240" s="14"/>
      <c r="CJ240" s="17">
        <f t="shared" si="229"/>
        <v>-0.90000000000000036</v>
      </c>
      <c r="CK240" s="17">
        <f t="shared" si="230"/>
        <v>1.2199999999999998</v>
      </c>
      <c r="CL240" s="17">
        <f t="shared" si="231"/>
        <v>4.0299999999999994</v>
      </c>
      <c r="CM240" s="38">
        <f t="shared" si="246"/>
        <v>6.1499999999999995</v>
      </c>
      <c r="CN240" s="17">
        <f t="shared" si="232"/>
        <v>8.9599999999999991</v>
      </c>
      <c r="CO240" s="17">
        <f t="shared" si="233"/>
        <v>11.079999999999998</v>
      </c>
      <c r="CP240" s="17">
        <f t="shared" si="234"/>
        <v>13.889999999999999</v>
      </c>
      <c r="CQ240" s="2" cm="1">
        <f t="array" aca="1" ref="CQ240" ca="1">MAX(_xlfn._xlws.FILTER(CJ240:CP240,CJ240:CP240&lt;BL240))</f>
        <v>6.1499999999999995</v>
      </c>
      <c r="CR240" s="2" cm="1">
        <f t="array" aca="1" ref="CR240" ca="1">MIN(_xlfn._xlws.FILTER($CJ240:$CP240,$CJ240:$CP240&gt;BL240))</f>
        <v>8.9599999999999991</v>
      </c>
      <c r="CS240" s="16">
        <f t="shared" ca="1" si="248"/>
        <v>0.45691056910569094</v>
      </c>
      <c r="CT240" s="20">
        <f t="shared" ca="1" si="249"/>
        <v>-0.22845528455284547</v>
      </c>
      <c r="CU240" s="20">
        <f t="shared" ca="1" si="250"/>
        <v>-0.15230352303523031</v>
      </c>
      <c r="CV240" s="20">
        <f t="shared" ca="1" si="251"/>
        <v>-9.1382113821138186E-2</v>
      </c>
      <c r="CW240" s="20">
        <f t="shared" ca="1" si="252"/>
        <v>-5.0767841011743441E-2</v>
      </c>
      <c r="CX240" s="20">
        <f t="shared" ca="1" si="253"/>
        <v>-2.6877092300334762E-2</v>
      </c>
      <c r="CY240" s="20">
        <f t="shared" ca="1" si="254"/>
        <v>-1.3845774821384575E-2</v>
      </c>
      <c r="CZ240" s="20">
        <f t="shared" ca="1" si="255"/>
        <v>-7.0293933708567838E-3</v>
      </c>
      <c r="DA240" s="21">
        <f t="shared" ca="1" si="256"/>
        <v>7.0293933708567838E-3</v>
      </c>
      <c r="DB240" s="21">
        <f t="shared" ca="1" si="257"/>
        <v>1.3845774821384575E-2</v>
      </c>
      <c r="DC240" s="21">
        <f t="shared" ca="1" si="258"/>
        <v>2.6877092300334762E-2</v>
      </c>
      <c r="DD240" s="21">
        <f t="shared" ca="1" si="259"/>
        <v>5.0767841011743441E-2</v>
      </c>
      <c r="DE240" s="21">
        <f t="shared" ca="1" si="260"/>
        <v>9.1382113821138186E-2</v>
      </c>
      <c r="DF240" s="21">
        <f t="shared" ca="1" si="261"/>
        <v>0.15230352303523031</v>
      </c>
      <c r="DG240" s="21">
        <f t="shared" ca="1" si="262"/>
        <v>0.22845528455284547</v>
      </c>
      <c r="DI240" s="16" cm="1">
        <f t="array" aca="1" ref="DI240" ca="1">MAX(_xlfn._xlws.FILTER(CT240:DG240,CT240:DG240&lt;BR240))</f>
        <v>-0.15230352303523031</v>
      </c>
      <c r="DJ240" s="16" cm="1">
        <f t="array" aca="1" ref="DJ240" ca="1">MIN(_xlfn._xlws.FILTER(CT240:DG240,CT240:DG240&gt;BR240))</f>
        <v>-9.1382113821138186E-2</v>
      </c>
      <c r="DK240" s="2" cm="1">
        <f t="array" aca="1" ref="DK240" ca="1">_FV(EC240,"Fechamento anterior",TRUE)</f>
        <v>6.91</v>
      </c>
      <c r="DL240" s="28">
        <f t="shared" ca="1" si="235"/>
        <v>0.93218091270066072</v>
      </c>
      <c r="DM240" s="15">
        <f t="shared" ca="1" si="263"/>
        <v>5.8575826558265582</v>
      </c>
      <c r="DN240" s="15">
        <f t="shared" ca="1" si="264"/>
        <v>6.278549593495935</v>
      </c>
      <c r="DO240" s="9"/>
      <c r="DP240" s="9"/>
      <c r="DQ240" s="9"/>
      <c r="DR240" s="89">
        <v>1.3189200768094985E-2</v>
      </c>
      <c r="DS240" s="89">
        <v>2.4389734594583302E-2</v>
      </c>
      <c r="DT240" s="89">
        <v>1.3031317478950187E-2</v>
      </c>
      <c r="DU240" s="89">
        <v>6.0921409214092129E-2</v>
      </c>
      <c r="DV240" s="89">
        <f t="shared" ca="1" si="236"/>
        <v>6.0921409214092129E-2</v>
      </c>
      <c r="DW240" s="72">
        <f t="shared" ca="1" si="237"/>
        <v>-0.40342039683409536</v>
      </c>
      <c r="DX240" s="37"/>
      <c r="DY240" s="35">
        <f t="shared" si="247"/>
        <v>0.68291043824696851</v>
      </c>
      <c r="DZ240" s="56"/>
      <c r="EA240" s="56"/>
      <c r="EC240" s="2" t="e" vm="242">
        <v>#VALUE!</v>
      </c>
      <c r="EE240" s="10" cm="1">
        <f t="array" aca="1" ref="EE240" ca="1">_FV(EC240,"Ações em circulação",TRUE)</f>
        <v>347931500</v>
      </c>
      <c r="EF240" s="18">
        <f>VLOOKUP(BM240,Fundamentus!A:U,5,FALSE)</f>
        <v>0.191</v>
      </c>
      <c r="EG240" s="2">
        <f t="shared" ca="1" si="238"/>
        <v>11385193062.827225</v>
      </c>
      <c r="EH240" s="17">
        <v>211764590.96858636</v>
      </c>
      <c r="EI240" s="17">
        <f t="shared" ca="1" si="239"/>
        <v>211764590.96858636</v>
      </c>
      <c r="EK240" s="16">
        <f t="shared" ca="1" si="226"/>
        <v>0</v>
      </c>
      <c r="EL240" s="32" t="str">
        <f>IF(VLOOKUP(BM240,Fundamentus!A:U,3,FALSE)&lt;15,"Bom",IF(VLOOKUP(BM240,Fundamentus!A:U,3,FALSE)&gt;15,"Ruim","n/a"))</f>
        <v>Bom</v>
      </c>
      <c r="EM240" s="28" t="str">
        <f>IF(VLOOKUP(BM240,Fundamentus!A:U,4,FALSE)&lt;1,"Baixo",IF(VLOOKUP(BM240,Fundamentus!A:U,4,FALSE)&lt;1.5,"Moderado",IF(VLOOKUP(BM240,Fundamentus!A:U,4,FALSE)&gt;1.5,"Alto","n/a")))</f>
        <v>Moderado</v>
      </c>
      <c r="EN240" s="17" t="str">
        <f>IF(VLOOKUP(BM240,Fundamentus!A:U,8,FALSE)&lt;0,"Risco elevado",IF(VLOOKUP(BM240,Fundamentus!A:U,8,FALSE)&lt;1,"Saudável",IF(VLOOKUP(BM240,Fundamentus!A:U,8,FALSE)&lt;3,"Estável",IF(VLOOKUP(BM240,Fundamentus!A:U,8,FALSE)&gt;3,"Alerta","n/a"))))</f>
        <v>Risco elevado</v>
      </c>
      <c r="EO240" s="28" t="str">
        <f t="shared" si="240"/>
        <v>Ruim</v>
      </c>
      <c r="EP240" s="17" t="str">
        <f>IF(VLOOKUP(BM240,Fundamentus!A:U,12,FALSE)&lt;2,"Subvalorizada",IF(VLOOKUP(BM240,Fundamentus!A:U,12,FALSE)&lt;6,"Muita barata",IF(VLOOKUP(BM240,Fundamentus!A:U,12,FALSE)&lt;6,"Barata",IF(VLOOKUP(BM240,Fundamentus!A:U,12,FALSE)&lt;8,"Atrativa",IF(VLOOKUP(BM240,Fundamentus!A:U,12,FALSE)&gt;8,"Supervalorizada","n/a")))))</f>
        <v>Muita barata</v>
      </c>
      <c r="ER240" s="17" t="str">
        <f>IF(VLOOKUP(BM240,Fundamentus!A:U,17,FALSE)&lt;0.1,"Fraco retorno",IF(VLOOKUP(BM240,Fundamentus!A:U,17,FALSE)&gt;0.1,"Bom retorno","n/a"))</f>
        <v>Bom retorno</v>
      </c>
      <c r="ES240" s="17" t="str">
        <f>IF(VLOOKUP(BM240,Fundamentus!A:U,16,FALSE)&lt;0.1,"Ineficiente",IF(VLOOKUP(BM240,Fundamentus!A:U,16,FALSE)&gt;0.1,"Eficiente","n/a"))</f>
        <v>Eficiente</v>
      </c>
      <c r="ET240" s="33" t="str">
        <f>IF(VLOOKUP(BM240,Fundamentus!A:U,16,FALSE)&lt;0.1,"Oper. Ineficiente",IF(VLOOKUP(BM240,Fundamentus!A:U,16,FALSE)&gt;0.1,"Oper.Eficiente","n/a"))</f>
        <v>Oper.Eficiente</v>
      </c>
      <c r="EU240" s="34">
        <f>VLOOKUP(BM240,Fundamentus!A:U,14,FALSE)</f>
        <v>1.8599999999999998E-2</v>
      </c>
      <c r="EV240" s="17" t="str">
        <f>IF(VLOOKUP(BM240,Fundamentus!A:U,21,FALSE)&lt;0,"Negativo",IF(VLOOKUP(BM240,Fundamentus!A:U,21,FALSE)&lt;0.05,"Fraco",IF(VLOOKUP(BM240,Fundamentus!A:U,21,FALSE)&lt;0.1,"Bom",IF(VLOOKUP(BM240,Fundamentus!A:U,21,FALSE)&gt;0.1,"Muito bom","n/a"))))</f>
        <v>Muito bom</v>
      </c>
      <c r="EX240" s="29" t="str">
        <f>IF(VLOOKUP(BM240,Fundamentus!A:U,15,FALSE)&gt;1,"Bom",IF(VLOOKUP(BM240,Fundamentus!A:U,15,FALSE)&lt;1,"Ruim","n/a"))</f>
        <v>Ruim</v>
      </c>
      <c r="EY240" s="17" t="str">
        <f>IF(VLOOKUP(BM240,Fundamentus!A:U,20,FALSE)&lt;0.5,"Baixa",IF(VLOOKUP(BM240,Fundamentus!A:U,20,FALSE)&lt;1,"Moderada",IF(VLOOKUP(BM240,Fundamentus!A:U,20,FALSE)&lt;2,"Alerta",IF(VLOOKUP(BM240,Fundamentus!A:U,20,FALSE)&gt;2,"Alta","n/a"))))</f>
        <v>Alta</v>
      </c>
    </row>
    <row r="241" spans="1:155" s="2" customFormat="1" ht="11.25" x14ac:dyDescent="0.2">
      <c r="A241" s="4">
        <v>1.46</v>
      </c>
      <c r="B241" s="4">
        <v>1.28</v>
      </c>
      <c r="C241" s="4">
        <v>1.33</v>
      </c>
      <c r="D241" s="4">
        <v>1.24</v>
      </c>
      <c r="E241" s="4">
        <v>1.1599999999999999</v>
      </c>
      <c r="F241" s="4">
        <v>1.19</v>
      </c>
      <c r="G241" s="4">
        <v>1.2</v>
      </c>
      <c r="H241" s="4">
        <v>1.34</v>
      </c>
      <c r="I241" s="4">
        <v>1.52</v>
      </c>
      <c r="J241" s="4">
        <v>1.58</v>
      </c>
      <c r="K241" s="4">
        <v>1.7</v>
      </c>
      <c r="L241" s="4">
        <v>1.6</v>
      </c>
      <c r="M241" s="4">
        <v>1.42</v>
      </c>
      <c r="N241" s="4">
        <v>1.43</v>
      </c>
      <c r="O241" s="4">
        <v>1.54</v>
      </c>
      <c r="P241" s="4">
        <v>1.46</v>
      </c>
      <c r="Q241" s="4">
        <v>1.44</v>
      </c>
      <c r="R241" s="4">
        <v>1.5</v>
      </c>
      <c r="S241" s="4">
        <v>1.4</v>
      </c>
      <c r="T241" s="4">
        <v>1.32</v>
      </c>
      <c r="U241" s="4">
        <v>1.19</v>
      </c>
      <c r="V241" s="4">
        <v>1.34</v>
      </c>
      <c r="W241" s="4">
        <v>1.26</v>
      </c>
      <c r="X241" s="4">
        <v>1.24</v>
      </c>
      <c r="Y241" s="4">
        <v>1.24</v>
      </c>
      <c r="Z241" s="4">
        <v>1.21</v>
      </c>
      <c r="AA241" s="4">
        <v>1.1399999999999999</v>
      </c>
      <c r="AB241" s="4">
        <v>1.1599999999999999</v>
      </c>
      <c r="AC241" s="4">
        <v>1.1499999999999999</v>
      </c>
      <c r="AD241" s="4">
        <v>1.06</v>
      </c>
      <c r="AE241" s="4">
        <v>0.93</v>
      </c>
      <c r="AF241" s="4">
        <v>0.81</v>
      </c>
      <c r="AG241" s="4">
        <v>1</v>
      </c>
      <c r="AH241" s="4">
        <v>1.01</v>
      </c>
      <c r="AI241" s="4">
        <v>1.02</v>
      </c>
      <c r="AJ241" s="4">
        <v>0.97</v>
      </c>
      <c r="AK241" s="4">
        <v>0.96</v>
      </c>
      <c r="AL241" s="4">
        <v>1.07</v>
      </c>
      <c r="AM241" s="4">
        <v>1.23</v>
      </c>
      <c r="AN241" s="4">
        <v>1.3</v>
      </c>
      <c r="AO241" s="4">
        <v>1.6</v>
      </c>
      <c r="AP241" s="4">
        <v>0.81</v>
      </c>
      <c r="AQ241" s="4">
        <v>1.06</v>
      </c>
      <c r="AR241" s="4">
        <v>1.17</v>
      </c>
      <c r="AS241" s="4">
        <v>1.1399999999999999</v>
      </c>
      <c r="AT241" s="4">
        <v>1.02</v>
      </c>
      <c r="AU241" s="4">
        <v>1.0149999999999999</v>
      </c>
      <c r="AV241" s="4">
        <v>0.99</v>
      </c>
      <c r="AW241" s="4">
        <v>0.92</v>
      </c>
      <c r="AX241" s="4">
        <v>0.91</v>
      </c>
      <c r="AY241" s="12">
        <v>0.88</v>
      </c>
      <c r="AZ241" s="12">
        <v>0.8</v>
      </c>
      <c r="BA241" s="12">
        <v>0.75</v>
      </c>
      <c r="BB241" s="15">
        <v>0.95</v>
      </c>
      <c r="BC241" s="52">
        <v>0.92</v>
      </c>
      <c r="BD241" s="52">
        <v>0.76</v>
      </c>
      <c r="BE241" s="52">
        <v>0.71</v>
      </c>
      <c r="BF241" s="52">
        <v>0.73</v>
      </c>
      <c r="BG241" s="67">
        <v>0.69</v>
      </c>
      <c r="BH241" s="52">
        <v>0.63</v>
      </c>
      <c r="BI241" s="52">
        <v>0.59</v>
      </c>
      <c r="BJ241" s="52">
        <v>0.54</v>
      </c>
      <c r="BK241" s="52">
        <v>0.64</v>
      </c>
      <c r="BL241" s="52" cm="1">
        <f t="array" aca="1" ref="BL241" ca="1">_FV(EC241,"Preço")</f>
        <v>0.64</v>
      </c>
      <c r="BM241" s="69" t="s">
        <v>237</v>
      </c>
      <c r="BN241" s="36" cm="1">
        <f t="array" aca="1" ref="BN241" ca="1">_FV(EC241,"Média de volume",TRUE)</f>
        <v>5614700</v>
      </c>
      <c r="BO241" s="36">
        <v>5337300</v>
      </c>
      <c r="BP241" s="36" cm="1">
        <f t="array" aca="1" ref="BP241" ca="1">_FV(EC241,"Volume")</f>
        <v>5337300</v>
      </c>
      <c r="BQ241" s="24" cm="1">
        <f t="array" aca="1" ref="BQ241" ca="1">_FV(EC241,"Beta")</f>
        <v>1.0603</v>
      </c>
      <c r="BR241" s="71" cm="1">
        <f t="array" aca="1" ref="BR241" ca="1">_FV(EC241,"Variação (%)",TRUE)</f>
        <v>8.4746000000000002E-2</v>
      </c>
      <c r="BT241" s="17" cm="1">
        <f t="array" aca="1" ref="BT241" ca="1">_FV(EC241,"Baixo")</f>
        <v>0.57999999999999996</v>
      </c>
      <c r="BU241" s="17" cm="1">
        <f t="array" aca="1" ref="BU241" ca="1">_FV(EC241,"Alto")</f>
        <v>0.66</v>
      </c>
      <c r="BV241" s="24"/>
      <c r="BW241" s="63" t="e">
        <f ca="1">SQRT(22.5*(BL241/VLOOKUP(BM241,Fundamentus!A:U,3,FALSE))*(BL241/VLOOKUP(BM241,Fundamentus!A:U,4,FALSE)))</f>
        <v>#NUM!</v>
      </c>
      <c r="BY241" s="62">
        <f t="shared" ca="1" si="241"/>
        <v>0</v>
      </c>
      <c r="BZ241" s="8"/>
      <c r="CA241" s="61">
        <f t="shared" si="242"/>
        <v>0.54</v>
      </c>
      <c r="CB241" s="61">
        <f t="shared" si="243"/>
        <v>1.7</v>
      </c>
      <c r="CC241" s="61">
        <f t="shared" si="244"/>
        <v>1.1210317460317463</v>
      </c>
      <c r="CD241" s="14"/>
      <c r="CE241" s="35">
        <f t="shared" si="227"/>
        <v>0.47481375993201919</v>
      </c>
      <c r="CF241" s="15">
        <f t="shared" si="245"/>
        <v>0.5990000000000002</v>
      </c>
      <c r="CG241" s="35">
        <f t="shared" si="228"/>
        <v>0.72318624006798116</v>
      </c>
      <c r="CI241" s="14"/>
      <c r="CJ241" s="17">
        <f t="shared" si="229"/>
        <v>-1.0066666666666664</v>
      </c>
      <c r="CK241" s="17">
        <f t="shared" si="230"/>
        <v>-0.23333333333333317</v>
      </c>
      <c r="CL241" s="17">
        <f t="shared" si="231"/>
        <v>0.15333333333333354</v>
      </c>
      <c r="CM241" s="38">
        <f t="shared" si="246"/>
        <v>0.92666666666666675</v>
      </c>
      <c r="CN241" s="17">
        <f t="shared" si="232"/>
        <v>1.3133333333333335</v>
      </c>
      <c r="CO241" s="17">
        <f t="shared" si="233"/>
        <v>2.0866666666666669</v>
      </c>
      <c r="CP241" s="17">
        <f t="shared" si="234"/>
        <v>2.4733333333333336</v>
      </c>
      <c r="CQ241" s="2" cm="1">
        <f t="array" aca="1" ref="CQ241" ca="1">MAX(_xlfn._xlws.FILTER(CJ241:CP241,CJ241:CP241&lt;BL241))</f>
        <v>0.15333333333333354</v>
      </c>
      <c r="CR241" s="2" cm="1">
        <f t="array" aca="1" ref="CR241" ca="1">MIN(_xlfn._xlws.FILTER($CJ241:$CP241,$CJ241:$CP241&gt;BL241))</f>
        <v>0.92666666666666675</v>
      </c>
      <c r="CS241" s="16">
        <f t="shared" ca="1" si="248"/>
        <v>5.0434782608695574</v>
      </c>
      <c r="CT241" s="20">
        <f t="shared" ca="1" si="249"/>
        <v>-2.5217391304347787</v>
      </c>
      <c r="CU241" s="20">
        <f t="shared" ca="1" si="250"/>
        <v>-1.6811594202898525</v>
      </c>
      <c r="CV241" s="20">
        <f t="shared" ca="1" si="251"/>
        <v>-1.0086956521739114</v>
      </c>
      <c r="CW241" s="20">
        <f t="shared" ca="1" si="252"/>
        <v>-0.56038647342995085</v>
      </c>
      <c r="CX241" s="20">
        <f t="shared" ca="1" si="253"/>
        <v>-0.29667519181585633</v>
      </c>
      <c r="CY241" s="20">
        <f t="shared" ca="1" si="254"/>
        <v>-0.15283267457180477</v>
      </c>
      <c r="CZ241" s="20">
        <f t="shared" ca="1" si="255"/>
        <v>-7.7591973244147031E-2</v>
      </c>
      <c r="DA241" s="21">
        <f t="shared" ca="1" si="256"/>
        <v>7.7591973244147031E-2</v>
      </c>
      <c r="DB241" s="21">
        <f t="shared" ca="1" si="257"/>
        <v>0.15283267457180477</v>
      </c>
      <c r="DC241" s="21">
        <f t="shared" ca="1" si="258"/>
        <v>0.29667519181585633</v>
      </c>
      <c r="DD241" s="21">
        <f t="shared" ca="1" si="259"/>
        <v>0.56038647342995085</v>
      </c>
      <c r="DE241" s="21">
        <f t="shared" ca="1" si="260"/>
        <v>1.0086956521739114</v>
      </c>
      <c r="DF241" s="21">
        <f t="shared" ca="1" si="261"/>
        <v>1.6811594202898525</v>
      </c>
      <c r="DG241" s="21">
        <f t="shared" ca="1" si="262"/>
        <v>2.5217391304347787</v>
      </c>
      <c r="DI241" s="16" cm="1">
        <f t="array" aca="1" ref="DI241" ca="1">MAX(_xlfn._xlws.FILTER(CT241:DG241,CT241:DG241&lt;BR241))</f>
        <v>7.7591973244147031E-2</v>
      </c>
      <c r="DJ241" s="16" cm="1">
        <f t="array" aca="1" ref="DJ241" ca="1">MIN(_xlfn._xlws.FILTER(CT241:DG241,CT241:DG241&gt;BR241))</f>
        <v>0.15283267457180477</v>
      </c>
      <c r="DK241" s="2" cm="1">
        <f t="array" aca="1" ref="DK241" ca="1">_FV(EC241,"Fechamento anterior",TRUE)</f>
        <v>0.59</v>
      </c>
      <c r="DL241" s="28">
        <f t="shared" ca="1" si="235"/>
        <v>9.507871858562493E-2</v>
      </c>
      <c r="DM241" s="15">
        <f t="shared" ca="1" si="263"/>
        <v>0.63577926421404674</v>
      </c>
      <c r="DN241" s="15">
        <f t="shared" ca="1" si="264"/>
        <v>0.68017127799736476</v>
      </c>
      <c r="DO241" s="9"/>
      <c r="DP241" s="9"/>
      <c r="DQ241" s="9"/>
      <c r="DR241" s="89">
        <v>2.8842268842268842E-2</v>
      </c>
      <c r="DS241" s="89">
        <v>5.8635703918722797E-2</v>
      </c>
      <c r="DT241" s="89">
        <v>0.15518394648829406</v>
      </c>
      <c r="DU241" s="89">
        <v>7.5240701327657741E-2</v>
      </c>
      <c r="DV241" s="89">
        <f t="shared" ca="1" si="236"/>
        <v>7.5240701327657741E-2</v>
      </c>
      <c r="DW241" s="72">
        <f t="shared" ca="1" si="237"/>
        <v>0.33014929816343525</v>
      </c>
      <c r="DX241" s="37"/>
      <c r="DY241" s="35">
        <f t="shared" si="247"/>
        <v>6.2093120033990507E-2</v>
      </c>
      <c r="DZ241" s="56"/>
      <c r="EA241" s="56"/>
      <c r="EC241" s="2" t="e" vm="243">
        <v>#VALUE!</v>
      </c>
      <c r="EE241" s="10" cm="1">
        <f t="array" aca="1" ref="EE241" ca="1">_FV(EC241,"Ações em circulação",TRUE)</f>
        <v>592753700</v>
      </c>
      <c r="EF241" s="18">
        <f>VLOOKUP(BM241,Fundamentus!A:U,5,FALSE)</f>
        <v>2.661</v>
      </c>
      <c r="EG241" s="2">
        <f t="shared" ca="1" si="238"/>
        <v>142563836.15182263</v>
      </c>
      <c r="EH241" s="17">
        <v>-244083543.87553552</v>
      </c>
      <c r="EI241" s="17">
        <f t="shared" ca="1" si="239"/>
        <v>-244083543.87553552</v>
      </c>
      <c r="EK241" s="16">
        <f t="shared" ca="1" si="226"/>
        <v>0</v>
      </c>
      <c r="EL241" s="32" t="str">
        <f>IF(VLOOKUP(BM241,Fundamentus!A:U,3,FALSE)&lt;15,"Bom",IF(VLOOKUP(BM241,Fundamentus!A:U,3,FALSE)&gt;15,"Ruim","n/a"))</f>
        <v>Bom</v>
      </c>
      <c r="EM241" s="28" t="str">
        <f>IF(VLOOKUP(BM241,Fundamentus!A:U,4,FALSE)&lt;1,"Baixo",IF(VLOOKUP(BM241,Fundamentus!A:U,4,FALSE)&lt;1.5,"Moderado",IF(VLOOKUP(BM241,Fundamentus!A:U,4,FALSE)&gt;1.5,"Alto","n/a")))</f>
        <v>Baixo</v>
      </c>
      <c r="EN241" s="17" t="str">
        <f>IF(VLOOKUP(BM241,Fundamentus!A:U,8,FALSE)&lt;0,"Risco elevado",IF(VLOOKUP(BM241,Fundamentus!A:U,8,FALSE)&lt;1,"Saudável",IF(VLOOKUP(BM241,Fundamentus!A:U,8,FALSE)&lt;3,"Estável",IF(VLOOKUP(BM241,Fundamentus!A:U,8,FALSE)&gt;3,"Alerta","n/a"))))</f>
        <v>Risco elevado</v>
      </c>
      <c r="EO241" s="28" t="str">
        <f t="shared" si="240"/>
        <v>Bom</v>
      </c>
      <c r="EP241" s="17" t="str">
        <f>IF(VLOOKUP(BM241,Fundamentus!A:U,12,FALSE)&lt;2,"Subvalorizada",IF(VLOOKUP(BM241,Fundamentus!A:U,12,FALSE)&lt;6,"Muita barata",IF(VLOOKUP(BM241,Fundamentus!A:U,12,FALSE)&lt;6,"Barata",IF(VLOOKUP(BM241,Fundamentus!A:U,12,FALSE)&lt;8,"Atrativa",IF(VLOOKUP(BM241,Fundamentus!A:U,12,FALSE)&gt;8,"Supervalorizada","n/a")))))</f>
        <v>Subvalorizada</v>
      </c>
      <c r="ER241" s="17" t="str">
        <f>IF(VLOOKUP(BM241,Fundamentus!A:U,17,FALSE)&lt;0.1,"Fraco retorno",IF(VLOOKUP(BM241,Fundamentus!A:U,17,FALSE)&gt;0.1,"Bom retorno","n/a"))</f>
        <v>Fraco retorno</v>
      </c>
      <c r="ES241" s="17" t="str">
        <f>IF(VLOOKUP(BM241,Fundamentus!A:U,16,FALSE)&lt;0.1,"Ineficiente",IF(VLOOKUP(BM241,Fundamentus!A:U,16,FALSE)&gt;0.1,"Eficiente","n/a"))</f>
        <v>Ineficiente</v>
      </c>
      <c r="ET241" s="33" t="str">
        <f>IF(VLOOKUP(BM241,Fundamentus!A:U,16,FALSE)&lt;0.1,"Oper. Ineficiente",IF(VLOOKUP(BM241,Fundamentus!A:U,16,FALSE)&gt;0.1,"Oper.Eficiente","n/a"))</f>
        <v>Oper. Ineficiente</v>
      </c>
      <c r="EU241" s="34">
        <f>VLOOKUP(BM241,Fundamentus!A:U,14,FALSE)</f>
        <v>-1.7121</v>
      </c>
      <c r="EV241" s="17" t="str">
        <f>IF(VLOOKUP(BM241,Fundamentus!A:U,21,FALSE)&lt;0,"Negativo",IF(VLOOKUP(BM241,Fundamentus!A:U,21,FALSE)&lt;0.05,"Fraco",IF(VLOOKUP(BM241,Fundamentus!A:U,21,FALSE)&lt;0.1,"Bom",IF(VLOOKUP(BM241,Fundamentus!A:U,21,FALSE)&gt;0.1,"Muito bom","n/a"))))</f>
        <v>Muito bom</v>
      </c>
      <c r="EX241" s="29" t="str">
        <f>IF(VLOOKUP(BM241,Fundamentus!A:U,15,FALSE)&gt;1,"Bom",IF(VLOOKUP(BM241,Fundamentus!A:U,15,FALSE)&lt;1,"Ruim","n/a"))</f>
        <v>Ruim</v>
      </c>
      <c r="EY241" s="17" t="str">
        <f>IF(VLOOKUP(BM241,Fundamentus!A:U,20,FALSE)&lt;0.5,"Baixa",IF(VLOOKUP(BM241,Fundamentus!A:U,20,FALSE)&lt;1,"Moderada",IF(VLOOKUP(BM241,Fundamentus!A:U,20,FALSE)&lt;2,"Alerta",IF(VLOOKUP(BM241,Fundamentus!A:U,20,FALSE)&gt;2,"Alta","n/a"))))</f>
        <v>Baixa</v>
      </c>
    </row>
    <row r="242" spans="1:155" s="2" customFormat="1" ht="11.25" x14ac:dyDescent="0.2">
      <c r="A242" s="4">
        <v>14.25</v>
      </c>
      <c r="B242" s="4">
        <v>13.88</v>
      </c>
      <c r="C242" s="4">
        <v>13.4</v>
      </c>
      <c r="D242" s="4">
        <v>13.44</v>
      </c>
      <c r="E242" s="4">
        <v>13.1</v>
      </c>
      <c r="F242" s="4">
        <v>12.44</v>
      </c>
      <c r="G242" s="4">
        <v>12.03</v>
      </c>
      <c r="H242" s="4">
        <v>12.65</v>
      </c>
      <c r="I242" s="4">
        <v>12.83</v>
      </c>
      <c r="J242" s="4">
        <v>13.02</v>
      </c>
      <c r="K242" s="4">
        <v>13.35</v>
      </c>
      <c r="L242" s="4">
        <v>12.64</v>
      </c>
      <c r="M242" s="4">
        <v>12.03</v>
      </c>
      <c r="N242" s="4">
        <v>11.35</v>
      </c>
      <c r="O242" s="4">
        <v>11.69</v>
      </c>
      <c r="P242" s="4">
        <v>11.34</v>
      </c>
      <c r="Q242" s="4">
        <v>12.25</v>
      </c>
      <c r="R242" s="4">
        <v>11.86</v>
      </c>
      <c r="S242" s="4">
        <v>11.6</v>
      </c>
      <c r="T242" s="4">
        <v>11.9</v>
      </c>
      <c r="U242" s="4">
        <v>11.13</v>
      </c>
      <c r="V242" s="4">
        <v>13.25</v>
      </c>
      <c r="W242" s="4">
        <v>12.64</v>
      </c>
      <c r="X242" s="4">
        <v>11.87</v>
      </c>
      <c r="Y242" s="4">
        <v>11.48</v>
      </c>
      <c r="Z242" s="4">
        <v>11.8</v>
      </c>
      <c r="AA242" s="4">
        <v>11.65</v>
      </c>
      <c r="AB242" s="4">
        <v>11.76</v>
      </c>
      <c r="AC242" s="4">
        <v>10.64</v>
      </c>
      <c r="AD242" s="4">
        <v>11.11</v>
      </c>
      <c r="AE242" s="4">
        <v>11.11</v>
      </c>
      <c r="AF242" s="4">
        <v>11.16</v>
      </c>
      <c r="AG242" s="4">
        <v>10.69</v>
      </c>
      <c r="AH242" s="4">
        <v>8.86</v>
      </c>
      <c r="AI242" s="4">
        <v>8.68</v>
      </c>
      <c r="AJ242" s="4">
        <v>8.2100000000000009</v>
      </c>
      <c r="AK242" s="4">
        <v>7.73</v>
      </c>
      <c r="AL242" s="4">
        <v>8.1300000000000008</v>
      </c>
      <c r="AM242" s="4">
        <v>8.26</v>
      </c>
      <c r="AN242" s="4">
        <v>9.09</v>
      </c>
      <c r="AO242" s="4">
        <v>8.94</v>
      </c>
      <c r="AP242" s="4">
        <v>8.74</v>
      </c>
      <c r="AQ242" s="4">
        <v>8.6999999999999993</v>
      </c>
      <c r="AR242" s="4">
        <v>8.52</v>
      </c>
      <c r="AS242" s="4">
        <v>8.8000000000000007</v>
      </c>
      <c r="AT242" s="4">
        <v>10.220000000000001</v>
      </c>
      <c r="AU242" s="4">
        <v>10.055</v>
      </c>
      <c r="AV242" s="4">
        <v>9.74</v>
      </c>
      <c r="AW242" s="4">
        <v>8.23</v>
      </c>
      <c r="AX242" s="4">
        <v>8.6300000000000008</v>
      </c>
      <c r="AY242" s="12">
        <v>8.68</v>
      </c>
      <c r="AZ242" s="12">
        <v>9.39</v>
      </c>
      <c r="BA242" s="12">
        <v>9.3000000000000007</v>
      </c>
      <c r="BB242" s="15">
        <v>9.6300000000000008</v>
      </c>
      <c r="BC242" s="52">
        <v>9.27</v>
      </c>
      <c r="BD242" s="52">
        <v>8.84</v>
      </c>
      <c r="BE242" s="52">
        <v>8.25</v>
      </c>
      <c r="BF242" s="52">
        <v>8.23</v>
      </c>
      <c r="BG242" s="67">
        <v>7.94</v>
      </c>
      <c r="BH242" s="52">
        <v>7.87</v>
      </c>
      <c r="BI242" s="52">
        <v>7.5</v>
      </c>
      <c r="BJ242" s="52">
        <v>8.2100000000000009</v>
      </c>
      <c r="BK242" s="52">
        <v>8.24</v>
      </c>
      <c r="BL242" s="52" cm="1">
        <f t="array" aca="1" ref="BL242" ca="1">_FV(EC242,"Preço")</f>
        <v>8.24</v>
      </c>
      <c r="BM242" s="69" t="s">
        <v>238</v>
      </c>
      <c r="BN242" s="36" cm="1">
        <f t="array" aca="1" ref="BN242" ca="1">_FV(EC242,"Média de volume",TRUE)</f>
        <v>8075910</v>
      </c>
      <c r="BO242" s="36">
        <v>5409100</v>
      </c>
      <c r="BP242" s="36" cm="1">
        <f t="array" aca="1" ref="BP242" ca="1">_FV(EC242,"Volume")</f>
        <v>5409100</v>
      </c>
      <c r="BQ242" s="24" cm="1">
        <f t="array" aca="1" ref="BQ242" ca="1">_FV(EC242,"Beta")</f>
        <v>1.4132</v>
      </c>
      <c r="BR242" s="71" cm="1">
        <f t="array" aca="1" ref="BR242" ca="1">_FV(EC242,"Variação (%)",TRUE)</f>
        <v>-1.0804000000000001E-2</v>
      </c>
      <c r="BT242" s="17" cm="1">
        <f t="array" aca="1" ref="BT242" ca="1">_FV(EC242,"Baixo")</f>
        <v>8.11</v>
      </c>
      <c r="BU242" s="17" cm="1">
        <f t="array" aca="1" ref="BU242" ca="1">_FV(EC242,"Alto")</f>
        <v>8.3699999999999992</v>
      </c>
      <c r="BV242" s="24"/>
      <c r="BW242" s="63" t="e">
        <f ca="1">SQRT(22.5*(BL242/VLOOKUP(BM242,Fundamentus!A:U,3,FALSE))*(BL242/VLOOKUP(BM242,Fundamentus!A:U,4,FALSE)))</f>
        <v>#NUM!</v>
      </c>
      <c r="BY242" s="62">
        <f t="shared" ca="1" si="241"/>
        <v>0</v>
      </c>
      <c r="BZ242" s="8"/>
      <c r="CA242" s="61">
        <f t="shared" si="242"/>
        <v>7.5</v>
      </c>
      <c r="CB242" s="61">
        <f t="shared" si="243"/>
        <v>14.25</v>
      </c>
      <c r="CC242" s="61">
        <f t="shared" si="244"/>
        <v>10.511507936507934</v>
      </c>
      <c r="CD242" s="14"/>
      <c r="CE242" s="35">
        <f t="shared" si="227"/>
        <v>7.513657169777936</v>
      </c>
      <c r="CF242" s="15">
        <f t="shared" si="245"/>
        <v>8.0460000000000491</v>
      </c>
      <c r="CG242" s="35">
        <f t="shared" si="228"/>
        <v>8.5783428302221623</v>
      </c>
      <c r="CI242" s="14"/>
      <c r="CJ242" s="17">
        <f t="shared" si="229"/>
        <v>-1.0266666666666673</v>
      </c>
      <c r="CK242" s="17">
        <f t="shared" si="230"/>
        <v>3.2366666666666664</v>
      </c>
      <c r="CL242" s="17">
        <f t="shared" si="231"/>
        <v>5.7233333333333327</v>
      </c>
      <c r="CM242" s="38">
        <f t="shared" si="246"/>
        <v>9.9866666666666664</v>
      </c>
      <c r="CN242" s="17">
        <f t="shared" si="232"/>
        <v>12.473333333333333</v>
      </c>
      <c r="CO242" s="17">
        <f t="shared" si="233"/>
        <v>16.736666666666665</v>
      </c>
      <c r="CP242" s="17">
        <f t="shared" si="234"/>
        <v>19.223333333333333</v>
      </c>
      <c r="CQ242" s="2" cm="1">
        <f t="array" aca="1" ref="CQ242" ca="1">MAX(_xlfn._xlws.FILTER(CJ242:CP242,CJ242:CP242&lt;BL242))</f>
        <v>5.7233333333333327</v>
      </c>
      <c r="CR242" s="2" cm="1">
        <f t="array" aca="1" ref="CR242" ca="1">MIN(_xlfn._xlws.FILTER($CJ242:$CP242,$CJ242:$CP242&gt;BL242))</f>
        <v>9.9866666666666664</v>
      </c>
      <c r="CS242" s="16">
        <f t="shared" ca="1" si="248"/>
        <v>0.74490390215492153</v>
      </c>
      <c r="CT242" s="20">
        <f t="shared" ca="1" si="249"/>
        <v>-0.37245195107746076</v>
      </c>
      <c r="CU242" s="20">
        <f t="shared" ca="1" si="250"/>
        <v>-0.24830130071830717</v>
      </c>
      <c r="CV242" s="20">
        <f t="shared" ca="1" si="251"/>
        <v>-0.14898078043098431</v>
      </c>
      <c r="CW242" s="20">
        <f t="shared" ca="1" si="252"/>
        <v>-8.2767100239435731E-2</v>
      </c>
      <c r="CX242" s="20">
        <f t="shared" ca="1" si="253"/>
        <v>-4.3817876597348322E-2</v>
      </c>
      <c r="CY242" s="20">
        <f t="shared" ca="1" si="254"/>
        <v>-2.2572845519846108E-2</v>
      </c>
      <c r="CZ242" s="20">
        <f t="shared" ca="1" si="255"/>
        <v>-1.146006003315264E-2</v>
      </c>
      <c r="DA242" s="21">
        <f t="shared" ca="1" si="256"/>
        <v>1.146006003315264E-2</v>
      </c>
      <c r="DB242" s="21">
        <f t="shared" ca="1" si="257"/>
        <v>2.2572845519846108E-2</v>
      </c>
      <c r="DC242" s="21">
        <f t="shared" ca="1" si="258"/>
        <v>4.3817876597348322E-2</v>
      </c>
      <c r="DD242" s="21">
        <f t="shared" ca="1" si="259"/>
        <v>8.2767100239435731E-2</v>
      </c>
      <c r="DE242" s="21">
        <f t="shared" ca="1" si="260"/>
        <v>0.14898078043098431</v>
      </c>
      <c r="DF242" s="21">
        <f t="shared" ca="1" si="261"/>
        <v>0.24830130071830717</v>
      </c>
      <c r="DG242" s="21">
        <f t="shared" ca="1" si="262"/>
        <v>0.37245195107746076</v>
      </c>
      <c r="DI242" s="16" cm="1">
        <f t="array" aca="1" ref="DI242" ca="1">MAX(_xlfn._xlws.FILTER(CT242:DG242,CT242:DG242&lt;BR242))</f>
        <v>-1.146006003315264E-2</v>
      </c>
      <c r="DJ242" s="16" cm="1">
        <f t="array" aca="1" ref="DJ242" ca="1">MIN(_xlfn._xlws.FILTER(CT242:DG242,CT242:DG242&gt;BR242))</f>
        <v>1.146006003315264E-2</v>
      </c>
      <c r="DK242" s="2" cm="1">
        <f t="array" aca="1" ref="DK242" ca="1">_FV(EC242,"Fechamento anterior",TRUE)</f>
        <v>8.33</v>
      </c>
      <c r="DL242" s="28">
        <f t="shared" ca="1" si="235"/>
        <v>2.8609723795692179E-2</v>
      </c>
      <c r="DM242" s="15">
        <f t="shared" ca="1" si="263"/>
        <v>8.2345376999238393</v>
      </c>
      <c r="DN242" s="15">
        <f t="shared" ca="1" si="264"/>
        <v>8.4254623000761608</v>
      </c>
      <c r="DO242" s="9"/>
      <c r="DP242" s="9"/>
      <c r="DQ242" s="9"/>
      <c r="DR242" s="89">
        <v>2.4069032347376673E-2</v>
      </c>
      <c r="DS242" s="89">
        <v>2.1411234848745596E-2</v>
      </c>
      <c r="DT242" s="89">
        <v>2.2920120066305279E-2</v>
      </c>
      <c r="DU242" s="89">
        <v>2.2920120066305279E-2</v>
      </c>
      <c r="DV242" s="89">
        <f t="shared" ca="1" si="236"/>
        <v>2.2920120066305279E-2</v>
      </c>
      <c r="DW242" s="72">
        <f t="shared" ca="1" si="237"/>
        <v>0.36442681104394159</v>
      </c>
      <c r="DX242" s="37"/>
      <c r="DY242" s="35">
        <f t="shared" si="247"/>
        <v>0.26617141511105646</v>
      </c>
      <c r="DZ242" s="56"/>
      <c r="EA242" s="56"/>
      <c r="EC242" s="2" t="e" vm="244">
        <v>#VALUE!</v>
      </c>
      <c r="EE242" s="10" cm="1">
        <f t="array" aca="1" ref="EE242" ca="1">_FV(EC242,"Ações em circulação",TRUE)</f>
        <v>1326094000</v>
      </c>
      <c r="EF242" s="18">
        <f>VLOOKUP(BM242,Fundamentus!A:U,5,FALSE)</f>
        <v>0.23499999999999999</v>
      </c>
      <c r="EG242" s="2">
        <f t="shared" ca="1" si="238"/>
        <v>46497934297.872345</v>
      </c>
      <c r="EH242" s="17">
        <v>-1855267578.4851065</v>
      </c>
      <c r="EI242" s="17">
        <f t="shared" ca="1" si="239"/>
        <v>-1855267578.4851065</v>
      </c>
      <c r="EK242" s="16">
        <f t="shared" ca="1" si="226"/>
        <v>0</v>
      </c>
      <c r="EL242" s="32" t="str">
        <f>IF(VLOOKUP(BM242,Fundamentus!A:U,3,FALSE)&lt;15,"Bom",IF(VLOOKUP(BM242,Fundamentus!A:U,3,FALSE)&gt;15,"Ruim","n/a"))</f>
        <v>Bom</v>
      </c>
      <c r="EM242" s="28" t="str">
        <f>IF(VLOOKUP(BM242,Fundamentus!A:U,4,FALSE)&lt;1,"Baixo",IF(VLOOKUP(BM242,Fundamentus!A:U,4,FALSE)&lt;1.5,"Moderado",IF(VLOOKUP(BM242,Fundamentus!A:U,4,FALSE)&gt;1.5,"Alto","n/a")))</f>
        <v>Baixo</v>
      </c>
      <c r="EN242" s="17" t="str">
        <f>IF(VLOOKUP(BM242,Fundamentus!A:U,8,FALSE)&lt;0,"Risco elevado",IF(VLOOKUP(BM242,Fundamentus!A:U,8,FALSE)&lt;1,"Saudável",IF(VLOOKUP(BM242,Fundamentus!A:U,8,FALSE)&lt;3,"Estável",IF(VLOOKUP(BM242,Fundamentus!A:U,8,FALSE)&gt;3,"Alerta","n/a"))))</f>
        <v>Saudável</v>
      </c>
      <c r="EO242" s="28" t="str">
        <f t="shared" si="240"/>
        <v>Ruim</v>
      </c>
      <c r="EP242" s="17" t="str">
        <f>IF(VLOOKUP(BM242,Fundamentus!A:U,12,FALSE)&lt;2,"Subvalorizada",IF(VLOOKUP(BM242,Fundamentus!A:U,12,FALSE)&lt;6,"Muita barata",IF(VLOOKUP(BM242,Fundamentus!A:U,12,FALSE)&lt;6,"Barata",IF(VLOOKUP(BM242,Fundamentus!A:U,12,FALSE)&lt;8,"Atrativa",IF(VLOOKUP(BM242,Fundamentus!A:U,12,FALSE)&gt;8,"Supervalorizada","n/a")))))</f>
        <v>Muita barata</v>
      </c>
      <c r="ER242" s="17" t="str">
        <f>IF(VLOOKUP(BM242,Fundamentus!A:U,17,FALSE)&lt;0.1,"Fraco retorno",IF(VLOOKUP(BM242,Fundamentus!A:U,17,FALSE)&gt;0.1,"Bom retorno","n/a"))</f>
        <v>Fraco retorno</v>
      </c>
      <c r="ES242" s="17" t="str">
        <f>IF(VLOOKUP(BM242,Fundamentus!A:U,16,FALSE)&lt;0.1,"Ineficiente",IF(VLOOKUP(BM242,Fundamentus!A:U,16,FALSE)&gt;0.1,"Eficiente","n/a"))</f>
        <v>Ineficiente</v>
      </c>
      <c r="ET242" s="33" t="str">
        <f>IF(VLOOKUP(BM242,Fundamentus!A:U,16,FALSE)&lt;0.1,"Oper. Ineficiente",IF(VLOOKUP(BM242,Fundamentus!A:U,16,FALSE)&gt;0.1,"Oper.Eficiente","n/a"))</f>
        <v>Oper. Ineficiente</v>
      </c>
      <c r="EU242" s="34">
        <f>VLOOKUP(BM242,Fundamentus!A:U,14,FALSE)</f>
        <v>-3.9899999999999998E-2</v>
      </c>
      <c r="EV242" s="17" t="str">
        <f>IF(VLOOKUP(BM242,Fundamentus!A:U,21,FALSE)&lt;0,"Negativo",IF(VLOOKUP(BM242,Fundamentus!A:U,21,FALSE)&lt;0.05,"Fraco",IF(VLOOKUP(BM242,Fundamentus!A:U,21,FALSE)&lt;0.1,"Bom",IF(VLOOKUP(BM242,Fundamentus!A:U,21,FALSE)&gt;0.1,"Muito bom","n/a"))))</f>
        <v>Fraco</v>
      </c>
      <c r="EX242" s="29" t="str">
        <f>IF(VLOOKUP(BM242,Fundamentus!A:U,15,FALSE)&gt;1,"Bom",IF(VLOOKUP(BM242,Fundamentus!A:U,15,FALSE)&lt;1,"Ruim","n/a"))</f>
        <v>Bom</v>
      </c>
      <c r="EY242" s="17" t="str">
        <f>IF(VLOOKUP(BM242,Fundamentus!A:U,20,FALSE)&lt;0.5,"Baixa",IF(VLOOKUP(BM242,Fundamentus!A:U,20,FALSE)&lt;1,"Moderada",IF(VLOOKUP(BM242,Fundamentus!A:U,20,FALSE)&lt;2,"Alerta",IF(VLOOKUP(BM242,Fundamentus!A:U,20,FALSE)&gt;2,"Alta","n/a"))))</f>
        <v>Alta</v>
      </c>
    </row>
    <row r="243" spans="1:155" s="2" customFormat="1" ht="11.25" x14ac:dyDescent="0.2">
      <c r="A243" s="4">
        <v>1.1100000000000001</v>
      </c>
      <c r="B243" s="4">
        <v>1.06</v>
      </c>
      <c r="C243" s="4">
        <v>0.92</v>
      </c>
      <c r="D243" s="4">
        <v>0.91</v>
      </c>
      <c r="E243" s="4">
        <v>0.85</v>
      </c>
      <c r="F243" s="4">
        <v>0.87</v>
      </c>
      <c r="G243" s="4">
        <v>0.77</v>
      </c>
      <c r="H243" s="4">
        <v>0.74</v>
      </c>
      <c r="I243" s="4">
        <v>0.62</v>
      </c>
      <c r="J243" s="4">
        <v>0.7</v>
      </c>
      <c r="K243" s="4">
        <v>0.75</v>
      </c>
      <c r="L243" s="4">
        <v>0.95</v>
      </c>
      <c r="M243" s="4">
        <v>1.1000000000000001</v>
      </c>
      <c r="N243" s="4">
        <v>0.9</v>
      </c>
      <c r="O243" s="4">
        <v>0.9</v>
      </c>
      <c r="P243" s="4">
        <v>0.86</v>
      </c>
      <c r="Q243" s="4">
        <v>0.86</v>
      </c>
      <c r="R243" s="4">
        <v>0.86</v>
      </c>
      <c r="S243" s="4">
        <v>0.86</v>
      </c>
      <c r="T243" s="4">
        <v>0.86</v>
      </c>
      <c r="U243" s="4">
        <v>0.86</v>
      </c>
      <c r="V243" s="4">
        <v>0.86</v>
      </c>
      <c r="W243" s="4">
        <v>0.86</v>
      </c>
      <c r="X243" s="4">
        <v>0.86</v>
      </c>
      <c r="Y243" s="4">
        <v>0.86</v>
      </c>
      <c r="Z243" s="4">
        <v>0.86</v>
      </c>
      <c r="AA243" s="4">
        <v>0.86</v>
      </c>
      <c r="AB243" s="4">
        <v>0.86</v>
      </c>
      <c r="AC243" s="4">
        <v>0.86</v>
      </c>
      <c r="AD243" s="4">
        <v>0.86</v>
      </c>
      <c r="AE243" s="4">
        <v>0.86</v>
      </c>
      <c r="AF243" s="4">
        <v>0.86</v>
      </c>
      <c r="AG243" s="4">
        <v>0.86</v>
      </c>
      <c r="AH243" s="4">
        <v>0.86</v>
      </c>
      <c r="AI243" s="4">
        <v>0.86</v>
      </c>
      <c r="AJ243" s="4">
        <v>0.86</v>
      </c>
      <c r="AK243" s="4">
        <v>0.86</v>
      </c>
      <c r="AL243" s="4">
        <v>0.86</v>
      </c>
      <c r="AM243" s="4">
        <v>0.86</v>
      </c>
      <c r="AN243" s="4">
        <v>0.86</v>
      </c>
      <c r="AO243" s="4">
        <v>0.86</v>
      </c>
      <c r="AP243" s="4">
        <v>0.86</v>
      </c>
      <c r="AQ243" s="4">
        <v>0.86</v>
      </c>
      <c r="AR243" s="4">
        <v>0.86</v>
      </c>
      <c r="AS243" s="4">
        <v>0.86</v>
      </c>
      <c r="AT243" s="4">
        <v>0.86</v>
      </c>
      <c r="AU243" s="4">
        <v>0.86</v>
      </c>
      <c r="AV243" s="4">
        <v>0.86</v>
      </c>
      <c r="AW243" s="4">
        <v>0.86</v>
      </c>
      <c r="AX243" s="4">
        <v>0.86</v>
      </c>
      <c r="AY243" s="12">
        <v>0.86</v>
      </c>
      <c r="AZ243" s="12">
        <v>0.86</v>
      </c>
      <c r="BA243" s="12">
        <v>0.86</v>
      </c>
      <c r="BB243" s="15">
        <v>0.86</v>
      </c>
      <c r="BC243" s="52">
        <v>0.86</v>
      </c>
      <c r="BD243" s="52">
        <v>0.86</v>
      </c>
      <c r="BE243" s="52">
        <v>0.86</v>
      </c>
      <c r="BF243" s="52">
        <v>0.86</v>
      </c>
      <c r="BG243" s="67">
        <v>0.86</v>
      </c>
      <c r="BH243" s="52">
        <v>0.86</v>
      </c>
      <c r="BI243" s="52">
        <v>0.86</v>
      </c>
      <c r="BJ243" s="52">
        <v>0.86</v>
      </c>
      <c r="BK243" s="52">
        <v>0.86</v>
      </c>
      <c r="BL243" s="52" cm="1">
        <f t="array" aca="1" ref="BL243" ca="1">_FV(EC243,"Preço")</f>
        <v>0.86</v>
      </c>
      <c r="BM243" s="69" t="s">
        <v>239</v>
      </c>
      <c r="BN243" s="36" t="e" cm="1" vm="3">
        <f t="array" ref="BN243">_FV(EC243,"Média de volume",TRUE)</f>
        <v>#VALUE!</v>
      </c>
      <c r="BO243" s="36">
        <v>5000</v>
      </c>
      <c r="BP243" s="36" cm="1">
        <f t="array" aca="1" ref="BP243" ca="1">_FV(EC243,"Volume")</f>
        <v>5000</v>
      </c>
      <c r="BQ243" s="24" cm="1">
        <f t="array" aca="1" ref="BQ243" ca="1">_FV(EC243,"Beta")</f>
        <v>1.2020999999999999</v>
      </c>
      <c r="BR243" s="71" cm="1">
        <f t="array" aca="1" ref="BR243" ca="1">_FV(EC243,"Variação (%)",TRUE)</f>
        <v>-2.2727000000000001E-2</v>
      </c>
      <c r="BT243" s="17" cm="1">
        <f t="array" aca="1" ref="BT243" ca="1">_FV(EC243,"Baixo")</f>
        <v>0.86</v>
      </c>
      <c r="BU243" s="17" cm="1">
        <f t="array" aca="1" ref="BU243" ca="1">_FV(EC243,"Alto")</f>
        <v>0.86</v>
      </c>
      <c r="BV243" s="24"/>
      <c r="BW243" s="63" t="e">
        <f ca="1">SQRT(22.5*(BL243/VLOOKUP(BM243,Fundamentus!A:U,3,FALSE))*(BL243/VLOOKUP(BM243,Fundamentus!A:U,4,FALSE)))</f>
        <v>#N/A</v>
      </c>
      <c r="BY243" s="62">
        <f t="shared" ca="1" si="241"/>
        <v>0</v>
      </c>
      <c r="BZ243" s="8"/>
      <c r="CA243" s="61">
        <f t="shared" si="242"/>
        <v>0.62</v>
      </c>
      <c r="CB243" s="61">
        <f t="shared" si="243"/>
        <v>1.1100000000000001</v>
      </c>
      <c r="CC243" s="61">
        <f t="shared" si="244"/>
        <v>0.86396825396825361</v>
      </c>
      <c r="CD243" s="14"/>
      <c r="CE243" s="35">
        <f t="shared" si="227"/>
        <v>0.86</v>
      </c>
      <c r="CF243" s="15">
        <f t="shared" si="245"/>
        <v>0.86</v>
      </c>
      <c r="CG243" s="35">
        <f t="shared" si="228"/>
        <v>0.86</v>
      </c>
      <c r="CI243" s="14"/>
      <c r="CJ243" s="17">
        <f t="shared" si="229"/>
        <v>0.12666666666666637</v>
      </c>
      <c r="CK243" s="17">
        <f t="shared" si="230"/>
        <v>0.37333333333333318</v>
      </c>
      <c r="CL243" s="17">
        <f t="shared" si="231"/>
        <v>0.61666666666666647</v>
      </c>
      <c r="CM243" s="38">
        <f t="shared" si="246"/>
        <v>0.86333333333333329</v>
      </c>
      <c r="CN243" s="17">
        <f t="shared" si="232"/>
        <v>1.1066666666666665</v>
      </c>
      <c r="CO243" s="17">
        <f t="shared" si="233"/>
        <v>1.3533333333333335</v>
      </c>
      <c r="CP243" s="17">
        <f t="shared" si="234"/>
        <v>1.5966666666666667</v>
      </c>
      <c r="CQ243" s="2" cm="1">
        <f t="array" aca="1" ref="CQ243" ca="1">MAX(_xlfn._xlws.FILTER(CJ243:CP243,CJ243:CP243&lt;BL243))</f>
        <v>0.61666666666666647</v>
      </c>
      <c r="CR243" s="2" cm="1">
        <f t="array" aca="1" ref="CR243" ca="1">MIN(_xlfn._xlws.FILTER($CJ243:$CP243,$CJ243:$CP243&gt;BL243))</f>
        <v>0.86333333333333329</v>
      </c>
      <c r="CS243" s="16">
        <f t="shared" ca="1" si="248"/>
        <v>0.40000000000000036</v>
      </c>
      <c r="CT243" s="20">
        <f t="shared" ca="1" si="249"/>
        <v>-0.20000000000000018</v>
      </c>
      <c r="CU243" s="20">
        <f t="shared" ca="1" si="250"/>
        <v>-0.13333333333333344</v>
      </c>
      <c r="CV243" s="20">
        <f t="shared" ca="1" si="251"/>
        <v>-8.0000000000000071E-2</v>
      </c>
      <c r="CW243" s="20">
        <f t="shared" ca="1" si="252"/>
        <v>-4.4444444444444481E-2</v>
      </c>
      <c r="CX243" s="20">
        <f t="shared" ca="1" si="253"/>
        <v>-2.3529411764705903E-2</v>
      </c>
      <c r="CY243" s="20">
        <f t="shared" ca="1" si="254"/>
        <v>-1.2121212121212132E-2</v>
      </c>
      <c r="CZ243" s="20">
        <f t="shared" ca="1" si="255"/>
        <v>-6.153846153846159E-3</v>
      </c>
      <c r="DA243" s="21">
        <f t="shared" ca="1" si="256"/>
        <v>6.153846153846159E-3</v>
      </c>
      <c r="DB243" s="21">
        <f t="shared" ca="1" si="257"/>
        <v>1.2121212121212132E-2</v>
      </c>
      <c r="DC243" s="21">
        <f t="shared" ca="1" si="258"/>
        <v>2.3529411764705903E-2</v>
      </c>
      <c r="DD243" s="21">
        <f t="shared" ca="1" si="259"/>
        <v>4.4444444444444481E-2</v>
      </c>
      <c r="DE243" s="21">
        <f t="shared" ca="1" si="260"/>
        <v>8.0000000000000071E-2</v>
      </c>
      <c r="DF243" s="21">
        <f t="shared" ca="1" si="261"/>
        <v>0.13333333333333344</v>
      </c>
      <c r="DG243" s="21">
        <f t="shared" ca="1" si="262"/>
        <v>0.20000000000000018</v>
      </c>
      <c r="DI243" s="16" cm="1">
        <f t="array" aca="1" ref="DI243" ca="1">MAX(_xlfn._xlws.FILTER(CT243:DG243,CT243:DG243&lt;BR243))</f>
        <v>-2.3529411764705903E-2</v>
      </c>
      <c r="DJ243" s="16" cm="1">
        <f t="array" aca="1" ref="DJ243" ca="1">MIN(_xlfn._xlws.FILTER(CT243:DG243,CT243:DG243&gt;BR243))</f>
        <v>-1.2121212121212132E-2</v>
      </c>
      <c r="DK243" s="2" cm="1">
        <f t="array" aca="1" ref="DK243" ca="1">_FV(EC243,"Fechamento anterior",TRUE)</f>
        <v>0.88</v>
      </c>
      <c r="DL243" s="28">
        <f t="shared" ca="1" si="235"/>
        <v>7.0312500000004496E-2</v>
      </c>
      <c r="DM243" s="15">
        <f t="shared" ca="1" si="263"/>
        <v>0.85929411764705876</v>
      </c>
      <c r="DN243" s="15">
        <f t="shared" ca="1" si="264"/>
        <v>0.86933333333333329</v>
      </c>
      <c r="DO243" s="9"/>
      <c r="DP243" s="9"/>
      <c r="DQ243" s="9"/>
      <c r="DR243" s="89">
        <v>1.0902517035182876E-2</v>
      </c>
      <c r="DS243" s="89">
        <v>1.1408199643493771E-2</v>
      </c>
      <c r="DT243" s="89">
        <v>1.1408199643493771E-2</v>
      </c>
      <c r="DU243" s="89">
        <v>1.1408199643493771E-2</v>
      </c>
      <c r="DV243" s="89">
        <f t="shared" ca="1" si="236"/>
        <v>1.1408199643493771E-2</v>
      </c>
      <c r="DW243" s="72" t="e">
        <f t="shared" ca="1" si="237"/>
        <v>#DIV/0!</v>
      </c>
      <c r="DX243" s="37"/>
      <c r="DY243" s="35">
        <f t="shared" si="247"/>
        <v>0</v>
      </c>
      <c r="DZ243" s="56"/>
      <c r="EA243" s="56"/>
      <c r="EC243" s="2" t="e" vm="245">
        <v>#VALUE!</v>
      </c>
      <c r="EE243" s="10" cm="1">
        <f t="array" aca="1" ref="EE243" ca="1">_FV(EC243,"Ações em circulação",TRUE)</f>
        <v>30636460</v>
      </c>
      <c r="EF243" s="18" t="e">
        <f>VLOOKUP(BM243,Fundamentus!A:U,5,FALSE)</f>
        <v>#N/A</v>
      </c>
      <c r="EG243" s="2" t="e">
        <f t="shared" ca="1" si="238"/>
        <v>#N/A</v>
      </c>
      <c r="EH243" s="17" t="e">
        <v>#N/A</v>
      </c>
      <c r="EI243" s="17" t="e">
        <f t="shared" ca="1" si="239"/>
        <v>#N/A</v>
      </c>
      <c r="EK243" s="16" t="e">
        <f t="shared" ca="1" si="226"/>
        <v>#N/A</v>
      </c>
      <c r="EL243" s="32" t="e">
        <f>IF(VLOOKUP(BM243,Fundamentus!A:U,3,FALSE)&lt;15,"Bom",IF(VLOOKUP(BM243,Fundamentus!A:U,3,FALSE)&gt;15,"Ruim","n/a"))</f>
        <v>#N/A</v>
      </c>
      <c r="EM243" s="28" t="e">
        <f>IF(VLOOKUP(BM243,Fundamentus!A:U,4,FALSE)&lt;1,"Baixo",IF(VLOOKUP(BM243,Fundamentus!A:U,4,FALSE)&lt;1.5,"Moderado",IF(VLOOKUP(BM243,Fundamentus!A:U,4,FALSE)&gt;1.5,"Alto","n/a")))</f>
        <v>#N/A</v>
      </c>
      <c r="EN243" s="17" t="e">
        <f>IF(VLOOKUP(BM243,Fundamentus!A:U,8,FALSE)&lt;0,"Risco elevado",IF(VLOOKUP(BM243,Fundamentus!A:U,8,FALSE)&lt;1,"Saudável",IF(VLOOKUP(BM243,Fundamentus!A:U,8,FALSE)&lt;3,"Estável",IF(VLOOKUP(BM243,Fundamentus!A:U,8,FALSE)&gt;3,"Alerta","n/a"))))</f>
        <v>#N/A</v>
      </c>
      <c r="EO243" s="28" t="e">
        <f t="shared" si="240"/>
        <v>#N/A</v>
      </c>
      <c r="EP243" s="17" t="e">
        <f>IF(VLOOKUP(BM243,Fundamentus!A:U,12,FALSE)&lt;2,"Subvalorizada",IF(VLOOKUP(BM243,Fundamentus!A:U,12,FALSE)&lt;6,"Muita barata",IF(VLOOKUP(BM243,Fundamentus!A:U,12,FALSE)&lt;6,"Barata",IF(VLOOKUP(BM243,Fundamentus!A:U,12,FALSE)&lt;8,"Atrativa",IF(VLOOKUP(BM243,Fundamentus!A:U,12,FALSE)&gt;8,"Supervalorizada","n/a")))))</f>
        <v>#N/A</v>
      </c>
      <c r="ER243" s="17" t="e">
        <f>IF(VLOOKUP(BM243,Fundamentus!A:U,17,FALSE)&lt;0.1,"Fraco retorno",IF(VLOOKUP(BM243,Fundamentus!A:U,17,FALSE)&gt;0.1,"Bom retorno","n/a"))</f>
        <v>#N/A</v>
      </c>
      <c r="ES243" s="17" t="e">
        <f>IF(VLOOKUP(BM243,Fundamentus!A:U,16,FALSE)&lt;0.1,"Ineficiente",IF(VLOOKUP(BM243,Fundamentus!A:U,16,FALSE)&gt;0.1,"Eficiente","n/a"))</f>
        <v>#N/A</v>
      </c>
      <c r="ET243" s="33" t="e">
        <f>IF(VLOOKUP(BM243,Fundamentus!A:U,16,FALSE)&lt;0.1,"Oper. Ineficiente",IF(VLOOKUP(BM243,Fundamentus!A:U,16,FALSE)&gt;0.1,"Oper.Eficiente","n/a"))</f>
        <v>#N/A</v>
      </c>
      <c r="EU243" s="34" t="e">
        <f>VLOOKUP(BM243,Fundamentus!A:U,14,FALSE)</f>
        <v>#N/A</v>
      </c>
      <c r="EV243" s="17" t="e">
        <f>IF(VLOOKUP(BM243,Fundamentus!A:U,21,FALSE)&lt;0,"Negativo",IF(VLOOKUP(BM243,Fundamentus!A:U,21,FALSE)&lt;0.05,"Fraco",IF(VLOOKUP(BM243,Fundamentus!A:U,21,FALSE)&lt;0.1,"Bom",IF(VLOOKUP(BM243,Fundamentus!A:U,21,FALSE)&gt;0.1,"Muito bom","n/a"))))</f>
        <v>#N/A</v>
      </c>
      <c r="EX243" s="29" t="e">
        <f>IF(VLOOKUP(BM243,Fundamentus!A:U,15,FALSE)&gt;1,"Bom",IF(VLOOKUP(BM243,Fundamentus!A:U,15,FALSE)&lt;1,"Ruim","n/a"))</f>
        <v>#N/A</v>
      </c>
      <c r="EY243" s="17" t="e">
        <f>IF(VLOOKUP(BM243,Fundamentus!A:U,20,FALSE)&lt;0.5,"Baixa",IF(VLOOKUP(BM243,Fundamentus!A:U,20,FALSE)&lt;1,"Moderada",IF(VLOOKUP(BM243,Fundamentus!A:U,20,FALSE)&lt;2,"Alerta",IF(VLOOKUP(BM243,Fundamentus!A:U,20,FALSE)&gt;2,"Alta","n/a"))))</f>
        <v>#N/A</v>
      </c>
    </row>
    <row r="244" spans="1:155" s="2" customFormat="1" ht="11.25" x14ac:dyDescent="0.2">
      <c r="A244" s="4">
        <v>0.74</v>
      </c>
      <c r="B244" s="4">
        <v>0.71</v>
      </c>
      <c r="C244" s="4">
        <v>0.46</v>
      </c>
      <c r="D244" s="4">
        <v>0.51</v>
      </c>
      <c r="E244" s="4">
        <v>0.47</v>
      </c>
      <c r="F244" s="4">
        <v>0.37</v>
      </c>
      <c r="G244" s="4">
        <v>0.36</v>
      </c>
      <c r="H244" s="4">
        <v>0.33</v>
      </c>
      <c r="I244" s="4">
        <v>0.34</v>
      </c>
      <c r="J244" s="4">
        <v>0.37</v>
      </c>
      <c r="K244" s="4">
        <v>0.42</v>
      </c>
      <c r="L244" s="4">
        <v>0.35</v>
      </c>
      <c r="M244" s="4">
        <v>0.36</v>
      </c>
      <c r="N244" s="4">
        <v>0.35</v>
      </c>
      <c r="O244" s="4">
        <v>0.37</v>
      </c>
      <c r="P244" s="4">
        <v>0.19</v>
      </c>
      <c r="Q244" s="4">
        <v>0.17</v>
      </c>
      <c r="R244" s="4">
        <v>0.14000000000000001</v>
      </c>
      <c r="S244" s="4">
        <v>0.14000000000000001</v>
      </c>
      <c r="T244" s="4">
        <v>0.17</v>
      </c>
      <c r="U244" s="4">
        <v>0.16</v>
      </c>
      <c r="V244" s="4">
        <v>0.16</v>
      </c>
      <c r="W244" s="4">
        <v>0.17</v>
      </c>
      <c r="X244" s="4">
        <v>0.16</v>
      </c>
      <c r="Y244" s="4">
        <v>0.14000000000000001</v>
      </c>
      <c r="Z244" s="4">
        <v>0.14000000000000001</v>
      </c>
      <c r="AA244" s="4">
        <v>0.14000000000000001</v>
      </c>
      <c r="AB244" s="4">
        <v>0.12</v>
      </c>
      <c r="AC244" s="4">
        <v>0.12</v>
      </c>
      <c r="AD244" s="4">
        <v>0.12</v>
      </c>
      <c r="AE244" s="4">
        <v>0.12</v>
      </c>
      <c r="AF244" s="4">
        <v>0.1</v>
      </c>
      <c r="AG244" s="4">
        <v>0.1</v>
      </c>
      <c r="AH244" s="4">
        <v>0.06</v>
      </c>
      <c r="AI244" s="4">
        <v>0.06</v>
      </c>
      <c r="AJ244" s="4">
        <v>0.06</v>
      </c>
      <c r="AK244" s="4">
        <v>0.09</v>
      </c>
      <c r="AL244" s="4">
        <v>0.08</v>
      </c>
      <c r="AM244" s="4">
        <v>0.08</v>
      </c>
      <c r="AN244" s="4">
        <v>7.0000000000000007E-2</v>
      </c>
      <c r="AO244" s="4">
        <v>7.0000000000000007E-2</v>
      </c>
      <c r="AP244" s="4">
        <v>7.0000000000000007E-2</v>
      </c>
      <c r="AQ244" s="4">
        <v>0.06</v>
      </c>
      <c r="AR244" s="4">
        <v>0.06</v>
      </c>
      <c r="AS244" s="4">
        <v>0.06</v>
      </c>
      <c r="AT244" s="4">
        <v>0.06</v>
      </c>
      <c r="AU244" s="4">
        <v>8.4999999999999992E-2</v>
      </c>
      <c r="AV244" s="4">
        <v>0.11</v>
      </c>
      <c r="AW244" s="4">
        <v>0.1</v>
      </c>
      <c r="AX244" s="4">
        <v>0.09</v>
      </c>
      <c r="AY244" s="12">
        <v>0.09</v>
      </c>
      <c r="AZ244" s="12">
        <v>0.08</v>
      </c>
      <c r="BA244" s="12">
        <v>0.08</v>
      </c>
      <c r="BB244" s="15">
        <v>0.1</v>
      </c>
      <c r="BC244" s="52">
        <v>0.08</v>
      </c>
      <c r="BD244" s="52">
        <v>7.0000000000000007E-2</v>
      </c>
      <c r="BE244" s="52">
        <v>7.0000000000000007E-2</v>
      </c>
      <c r="BF244" s="52">
        <v>7.0000000000000007E-2</v>
      </c>
      <c r="BG244" s="67">
        <v>7.0000000000000007E-2</v>
      </c>
      <c r="BH244" s="52">
        <v>0.05</v>
      </c>
      <c r="BI244" s="52">
        <v>0.05</v>
      </c>
      <c r="BJ244" s="52">
        <v>0.05</v>
      </c>
      <c r="BK244" s="52">
        <v>0.05</v>
      </c>
      <c r="BL244" s="52" cm="1">
        <f t="array" aca="1" ref="BL244" ca="1">_FV(EC244,"Preço")</f>
        <v>0.05</v>
      </c>
      <c r="BM244" s="69" t="s">
        <v>240</v>
      </c>
      <c r="BN244" s="36" cm="1">
        <f t="array" aca="1" ref="BN244" ca="1">_FV(EC244,"Média de volume",TRUE)</f>
        <v>5846460</v>
      </c>
      <c r="BO244" s="36">
        <v>3111900</v>
      </c>
      <c r="BP244" s="36" cm="1">
        <f t="array" aca="1" ref="BP244" ca="1">_FV(EC244,"Volume")</f>
        <v>3111900</v>
      </c>
      <c r="BQ244" s="24" cm="1">
        <f t="array" aca="1" ref="BQ244" ca="1">_FV(EC244,"Beta")</f>
        <v>2.5009999999999999</v>
      </c>
      <c r="BR244" s="71" cm="1">
        <f t="array" aca="1" ref="BR244" ca="1">_FV(EC244,"Variação (%)",TRUE)</f>
        <v>0</v>
      </c>
      <c r="BT244" s="17" cm="1">
        <f t="array" aca="1" ref="BT244" ca="1">_FV(EC244,"Baixo")</f>
        <v>0.04</v>
      </c>
      <c r="BU244" s="17" cm="1">
        <f t="array" aca="1" ref="BU244" ca="1">_FV(EC244,"Alto")</f>
        <v>0.05</v>
      </c>
      <c r="BV244" s="24"/>
      <c r="BW244" s="63">
        <f ca="1">SQRT(22.5*(BL244/VLOOKUP(BM244,Fundamentus!A:U,3,FALSE))*(BL244/VLOOKUP(BM244,Fundamentus!A:U,4,FALSE)))</f>
        <v>1.1572751247156894</v>
      </c>
      <c r="BY244" s="62">
        <f t="shared" ca="1" si="241"/>
        <v>0</v>
      </c>
      <c r="BZ244" s="8"/>
      <c r="CA244" s="61">
        <f t="shared" si="242"/>
        <v>0.05</v>
      </c>
      <c r="CB244" s="61">
        <f t="shared" si="243"/>
        <v>0.74</v>
      </c>
      <c r="CC244" s="61">
        <f t="shared" si="244"/>
        <v>0.17849206349206356</v>
      </c>
      <c r="CD244" s="14"/>
      <c r="CE244" s="35">
        <f t="shared" si="227"/>
        <v>3.1143819168358587E-2</v>
      </c>
      <c r="CF244" s="15">
        <f t="shared" si="245"/>
        <v>0.05</v>
      </c>
      <c r="CG244" s="35">
        <f t="shared" si="228"/>
        <v>6.8856180831641411E-2</v>
      </c>
      <c r="CI244" s="14"/>
      <c r="CJ244" s="17">
        <f t="shared" si="229"/>
        <v>-0.86999999999999988</v>
      </c>
      <c r="CK244" s="17">
        <f t="shared" si="230"/>
        <v>-0.40999999999999992</v>
      </c>
      <c r="CL244" s="17">
        <f t="shared" si="231"/>
        <v>-0.17999999999999994</v>
      </c>
      <c r="CM244" s="38">
        <f t="shared" si="246"/>
        <v>0.28000000000000003</v>
      </c>
      <c r="CN244" s="17">
        <f t="shared" si="232"/>
        <v>0.51</v>
      </c>
      <c r="CO244" s="17">
        <f t="shared" si="233"/>
        <v>0.97</v>
      </c>
      <c r="CP244" s="17">
        <f t="shared" si="234"/>
        <v>1.2000000000000002</v>
      </c>
      <c r="CQ244" s="2" cm="1">
        <f t="array" aca="1" ref="CQ244" ca="1">MAX(_xlfn._xlws.FILTER(CJ244:CP244,CJ244:CP244&lt;BL244))</f>
        <v>-0.17999999999999994</v>
      </c>
      <c r="CR244" s="2" cm="1">
        <f t="array" aca="1" ref="CR244" ca="1">MIN(_xlfn._xlws.FILTER($CJ244:$CP244,$CJ244:$CP244&gt;BL244))</f>
        <v>0.28000000000000003</v>
      </c>
      <c r="CS244" s="16">
        <f t="shared" ca="1" si="248"/>
        <v>-2.5555555555555562</v>
      </c>
      <c r="CT244" s="20">
        <f t="shared" ca="1" si="249"/>
        <v>1.2777777777777781</v>
      </c>
      <c r="CU244" s="20">
        <f t="shared" ca="1" si="250"/>
        <v>0.85185185185185208</v>
      </c>
      <c r="CV244" s="20">
        <f t="shared" ca="1" si="251"/>
        <v>0.51111111111111129</v>
      </c>
      <c r="CW244" s="20">
        <f t="shared" ca="1" si="252"/>
        <v>0.28395061728395071</v>
      </c>
      <c r="CX244" s="20">
        <f t="shared" ca="1" si="253"/>
        <v>0.15032679738562096</v>
      </c>
      <c r="CY244" s="20">
        <f t="shared" ca="1" si="254"/>
        <v>7.7441077441077463E-2</v>
      </c>
      <c r="CZ244" s="20">
        <f t="shared" ca="1" si="255"/>
        <v>3.9316239316239329E-2</v>
      </c>
      <c r="DA244" s="21">
        <f t="shared" ca="1" si="256"/>
        <v>-3.9316239316239329E-2</v>
      </c>
      <c r="DB244" s="21">
        <f t="shared" ca="1" si="257"/>
        <v>-7.7441077441077463E-2</v>
      </c>
      <c r="DC244" s="21">
        <f t="shared" ca="1" si="258"/>
        <v>-0.15032679738562096</v>
      </c>
      <c r="DD244" s="21">
        <f t="shared" ca="1" si="259"/>
        <v>-0.28395061728395071</v>
      </c>
      <c r="DE244" s="21">
        <f t="shared" ca="1" si="260"/>
        <v>-0.51111111111111129</v>
      </c>
      <c r="DF244" s="21">
        <f t="shared" ca="1" si="261"/>
        <v>-0.85185185185185208</v>
      </c>
      <c r="DG244" s="21">
        <f t="shared" ca="1" si="262"/>
        <v>-1.2777777777777781</v>
      </c>
      <c r="DI244" s="16" cm="1">
        <f t="array" aca="1" ref="DI244" ca="1">MAX(_xlfn._xlws.FILTER(CT244:DG244,CT244:DG244&lt;BR244))</f>
        <v>-3.9316239316239329E-2</v>
      </c>
      <c r="DJ244" s="16" cm="1">
        <f t="array" aca="1" ref="DJ244" ca="1">MIN(_xlfn._xlws.FILTER(CT244:DG244,CT244:DG244&gt;BR244))</f>
        <v>3.9316239316239329E-2</v>
      </c>
      <c r="DK244" s="2" cm="1">
        <f t="array" aca="1" ref="DK244" ca="1">_FV(EC244,"Fechamento anterior",TRUE)</f>
        <v>0.05</v>
      </c>
      <c r="DL244" s="28">
        <f t="shared" ca="1" si="235"/>
        <v>0.5</v>
      </c>
      <c r="DM244" s="15">
        <f t="shared" ca="1" si="263"/>
        <v>4.8034188034188033E-2</v>
      </c>
      <c r="DN244" s="15">
        <f t="shared" ca="1" si="264"/>
        <v>5.1965811965811973E-2</v>
      </c>
      <c r="DO244" s="9"/>
      <c r="DP244" s="9"/>
      <c r="DQ244" s="9"/>
      <c r="DR244" s="89">
        <v>8.3692307692307705E-2</v>
      </c>
      <c r="DS244" s="89">
        <v>0.14705882352941183</v>
      </c>
      <c r="DT244" s="89">
        <v>7.8632478632478658E-2</v>
      </c>
      <c r="DU244" s="89">
        <v>7.8632478632478658E-2</v>
      </c>
      <c r="DV244" s="89">
        <f t="shared" ca="1" si="236"/>
        <v>7.8632478632478658E-2</v>
      </c>
      <c r="DW244" s="72">
        <f t="shared" ca="1" si="237"/>
        <v>0</v>
      </c>
      <c r="DX244" s="37"/>
      <c r="DY244" s="35">
        <f t="shared" si="247"/>
        <v>9.4280904158207078E-3</v>
      </c>
      <c r="DZ244" s="56"/>
      <c r="EA244" s="56"/>
      <c r="EC244" s="2" t="e" vm="246">
        <v>#VALUE!</v>
      </c>
      <c r="EE244" s="10" cm="1">
        <f t="array" aca="1" ref="EE244" ca="1">_FV(EC244,"Ações em circulação",TRUE)</f>
        <v>1802157000</v>
      </c>
      <c r="EF244" s="18">
        <f>VLOOKUP(BM244,Fundamentus!A:U,5,FALSE)</f>
        <v>0.10100000000000001</v>
      </c>
      <c r="EG244" s="2">
        <f t="shared" ca="1" si="238"/>
        <v>892156930.69306922</v>
      </c>
      <c r="EH244" s="17">
        <v>-1480266779.4059405</v>
      </c>
      <c r="EI244" s="17">
        <f t="shared" ca="1" si="239"/>
        <v>-1480266779.4059405</v>
      </c>
      <c r="EK244" s="16">
        <f t="shared" ca="1" si="226"/>
        <v>0</v>
      </c>
      <c r="EL244" s="32" t="str">
        <f>IF(VLOOKUP(BM244,Fundamentus!A:U,3,FALSE)&lt;15,"Bom",IF(VLOOKUP(BM244,Fundamentus!A:U,3,FALSE)&gt;15,"Ruim","n/a"))</f>
        <v>Bom</v>
      </c>
      <c r="EM244" s="28" t="str">
        <f>IF(VLOOKUP(BM244,Fundamentus!A:U,4,FALSE)&lt;1,"Baixo",IF(VLOOKUP(BM244,Fundamentus!A:U,4,FALSE)&lt;1.5,"Moderado",IF(VLOOKUP(BM244,Fundamentus!A:U,4,FALSE)&gt;1.5,"Alto","n/a")))</f>
        <v>Baixo</v>
      </c>
      <c r="EN244" s="17" t="str">
        <f>IF(VLOOKUP(BM244,Fundamentus!A:U,8,FALSE)&lt;0,"Risco elevado",IF(VLOOKUP(BM244,Fundamentus!A:U,8,FALSE)&lt;1,"Saudável",IF(VLOOKUP(BM244,Fundamentus!A:U,8,FALSE)&lt;3,"Estável",IF(VLOOKUP(BM244,Fundamentus!A:U,8,FALSE)&gt;3,"Alerta","n/a"))))</f>
        <v>Risco elevado</v>
      </c>
      <c r="EO244" s="28" t="str">
        <f t="shared" si="240"/>
        <v>Ruim</v>
      </c>
      <c r="EP244" s="17" t="str">
        <f>IF(VLOOKUP(BM244,Fundamentus!A:U,12,FALSE)&lt;2,"Subvalorizada",IF(VLOOKUP(BM244,Fundamentus!A:U,12,FALSE)&lt;6,"Muita barata",IF(VLOOKUP(BM244,Fundamentus!A:U,12,FALSE)&lt;6,"Barata",IF(VLOOKUP(BM244,Fundamentus!A:U,12,FALSE)&lt;8,"Atrativa",IF(VLOOKUP(BM244,Fundamentus!A:U,12,FALSE)&gt;8,"Supervalorizada","n/a")))))</f>
        <v>Subvalorizada</v>
      </c>
      <c r="ER244" s="17" t="str">
        <f>IF(VLOOKUP(BM244,Fundamentus!A:U,17,FALSE)&lt;0.1,"Fraco retorno",IF(VLOOKUP(BM244,Fundamentus!A:U,17,FALSE)&gt;0.1,"Bom retorno","n/a"))</f>
        <v>Bom retorno</v>
      </c>
      <c r="ES244" s="17" t="str">
        <f>IF(VLOOKUP(BM244,Fundamentus!A:U,16,FALSE)&lt;0.1,"Ineficiente",IF(VLOOKUP(BM244,Fundamentus!A:U,16,FALSE)&gt;0.1,"Eficiente","n/a"))</f>
        <v>Ineficiente</v>
      </c>
      <c r="ET244" s="33" t="str">
        <f>IF(VLOOKUP(BM244,Fundamentus!A:U,16,FALSE)&lt;0.1,"Oper. Ineficiente",IF(VLOOKUP(BM244,Fundamentus!A:U,16,FALSE)&gt;0.1,"Oper.Eficiente","n/a"))</f>
        <v>Oper. Ineficiente</v>
      </c>
      <c r="EU244" s="34">
        <f>VLOOKUP(BM244,Fundamentus!A:U,14,FALSE)</f>
        <v>-1.6592</v>
      </c>
      <c r="EV244" s="17" t="str">
        <f>IF(VLOOKUP(BM244,Fundamentus!A:U,21,FALSE)&lt;0,"Negativo",IF(VLOOKUP(BM244,Fundamentus!A:U,21,FALSE)&lt;0.05,"Fraco",IF(VLOOKUP(BM244,Fundamentus!A:U,21,FALSE)&lt;0.1,"Bom",IF(VLOOKUP(BM244,Fundamentus!A:U,21,FALSE)&gt;0.1,"Muito bom","n/a"))))</f>
        <v>Muito bom</v>
      </c>
      <c r="EX244" s="29" t="str">
        <f>IF(VLOOKUP(BM244,Fundamentus!A:U,15,FALSE)&gt;1,"Bom",IF(VLOOKUP(BM244,Fundamentus!A:U,15,FALSE)&lt;1,"Ruim","n/a"))</f>
        <v>Ruim</v>
      </c>
      <c r="EY244" s="17" t="str">
        <f>IF(VLOOKUP(BM244,Fundamentus!A:U,20,FALSE)&lt;0.5,"Baixa",IF(VLOOKUP(BM244,Fundamentus!A:U,20,FALSE)&lt;1,"Moderada",IF(VLOOKUP(BM244,Fundamentus!A:U,20,FALSE)&lt;2,"Alerta",IF(VLOOKUP(BM244,Fundamentus!A:U,20,FALSE)&gt;2,"Alta","n/a"))))</f>
        <v>Baixa</v>
      </c>
    </row>
    <row r="245" spans="1:155" s="2" customFormat="1" ht="11.25" x14ac:dyDescent="0.2">
      <c r="A245" s="4">
        <v>3.85</v>
      </c>
      <c r="B245" s="4">
        <v>4.0999999999999996</v>
      </c>
      <c r="C245" s="4">
        <v>4.51</v>
      </c>
      <c r="D245" s="4">
        <v>4.25</v>
      </c>
      <c r="E245" s="4">
        <v>3.98</v>
      </c>
      <c r="F245" s="4">
        <v>3.89</v>
      </c>
      <c r="G245" s="4">
        <v>3.75</v>
      </c>
      <c r="H245" s="4">
        <v>3.67</v>
      </c>
      <c r="I245" s="4">
        <v>3.82</v>
      </c>
      <c r="J245" s="4">
        <v>3.95</v>
      </c>
      <c r="K245" s="4">
        <v>4.08</v>
      </c>
      <c r="L245" s="4">
        <v>3.89</v>
      </c>
      <c r="M245" s="4">
        <v>4.18</v>
      </c>
      <c r="N245" s="4">
        <v>4.3</v>
      </c>
      <c r="O245" s="4">
        <v>4.43</v>
      </c>
      <c r="P245" s="4">
        <v>4.2699999999999996</v>
      </c>
      <c r="Q245" s="4">
        <v>4.49</v>
      </c>
      <c r="R245" s="4">
        <v>4.24</v>
      </c>
      <c r="S245" s="4">
        <v>4.4800000000000004</v>
      </c>
      <c r="T245" s="4">
        <v>4.5999999999999996</v>
      </c>
      <c r="U245" s="4">
        <v>4.33</v>
      </c>
      <c r="V245" s="4">
        <v>4</v>
      </c>
      <c r="W245" s="4">
        <v>4.0199999999999996</v>
      </c>
      <c r="X245" s="4">
        <v>3.87</v>
      </c>
      <c r="Y245" s="4">
        <v>3.53</v>
      </c>
      <c r="Z245" s="4">
        <v>3.64</v>
      </c>
      <c r="AA245" s="4">
        <v>3.33</v>
      </c>
      <c r="AB245" s="4">
        <v>3.18</v>
      </c>
      <c r="AC245" s="4">
        <v>3.17</v>
      </c>
      <c r="AD245" s="4">
        <v>2.98</v>
      </c>
      <c r="AE245" s="4">
        <v>2.7</v>
      </c>
      <c r="AF245" s="4">
        <v>2.4700000000000002</v>
      </c>
      <c r="AG245" s="4">
        <v>2.61</v>
      </c>
      <c r="AH245" s="4">
        <v>2.25</v>
      </c>
      <c r="AI245" s="4">
        <v>2.21</v>
      </c>
      <c r="AJ245" s="4">
        <v>2.1</v>
      </c>
      <c r="AK245" s="4">
        <v>2.2000000000000002</v>
      </c>
      <c r="AL245" s="4">
        <v>2.2400000000000002</v>
      </c>
      <c r="AM245" s="4">
        <v>2.29</v>
      </c>
      <c r="AN245" s="4">
        <v>2.42</v>
      </c>
      <c r="AO245" s="4">
        <v>2.33</v>
      </c>
      <c r="AP245" s="4">
        <v>2.5099999999999998</v>
      </c>
      <c r="AQ245" s="4">
        <v>2.36</v>
      </c>
      <c r="AR245" s="4">
        <v>2.11</v>
      </c>
      <c r="AS245" s="4">
        <v>2.17</v>
      </c>
      <c r="AT245" s="4">
        <v>2.1800000000000002</v>
      </c>
      <c r="AU245" s="4">
        <v>2.21</v>
      </c>
      <c r="AV245" s="4">
        <v>2.2999999999999998</v>
      </c>
      <c r="AW245" s="4">
        <v>2.13</v>
      </c>
      <c r="AX245" s="4">
        <v>2.2400000000000002</v>
      </c>
      <c r="AY245" s="12">
        <v>2.16</v>
      </c>
      <c r="AZ245" s="12">
        <v>2.41</v>
      </c>
      <c r="BA245" s="12">
        <v>2.3199999999999998</v>
      </c>
      <c r="BB245" s="15">
        <v>2.46</v>
      </c>
      <c r="BC245" s="52">
        <v>42.3</v>
      </c>
      <c r="BD245" s="52">
        <v>42.6</v>
      </c>
      <c r="BE245" s="52">
        <v>42.9</v>
      </c>
      <c r="BF245" s="52">
        <v>39.909999999999997</v>
      </c>
      <c r="BG245" s="67">
        <v>38.49</v>
      </c>
      <c r="BH245" s="52">
        <v>37.42</v>
      </c>
      <c r="BI245" s="52">
        <v>36.270000000000003</v>
      </c>
      <c r="BJ245" s="52">
        <v>35.61</v>
      </c>
      <c r="BK245" s="52">
        <v>32.32</v>
      </c>
      <c r="BL245" s="52" cm="1">
        <f t="array" aca="1" ref="BL245" ca="1">_FV(EC245,"Preço")</f>
        <v>32.32</v>
      </c>
      <c r="BM245" s="69" t="s">
        <v>241</v>
      </c>
      <c r="BN245" s="36" cm="1">
        <f t="array" aca="1" ref="BN245" ca="1">_FV(EC245,"Média de volume",TRUE)</f>
        <v>5385730</v>
      </c>
      <c r="BO245" s="36">
        <v>4998300</v>
      </c>
      <c r="BP245" s="36" cm="1">
        <f t="array" aca="1" ref="BP245" ca="1">_FV(EC245,"Volume")</f>
        <v>4998300</v>
      </c>
      <c r="BQ245" s="24" cm="1">
        <f t="array" aca="1" ref="BQ245" ca="1">_FV(EC245,"Beta")</f>
        <v>1.6226</v>
      </c>
      <c r="BR245" s="71" cm="1">
        <f t="array" aca="1" ref="BR245" ca="1">_FV(EC245,"Variação (%)",TRUE)</f>
        <v>-2.3860000000000003E-2</v>
      </c>
      <c r="BT245" s="17" cm="1">
        <f t="array" aca="1" ref="BT245" ca="1">_FV(EC245,"Baixo")</f>
        <v>31.77</v>
      </c>
      <c r="BU245" s="17" cm="1">
        <f t="array" aca="1" ref="BU245" ca="1">_FV(EC245,"Alto")</f>
        <v>32.880000000000003</v>
      </c>
      <c r="BV245" s="24"/>
      <c r="BW245" s="63" t="e">
        <f ca="1">SQRT(22.5*(BL245/VLOOKUP(BM245,Fundamentus!A:U,3,FALSE))*(BL245/VLOOKUP(BM245,Fundamentus!A:U,4,FALSE)))</f>
        <v>#NUM!</v>
      </c>
      <c r="BY245" s="62">
        <f t="shared" ca="1" si="241"/>
        <v>0</v>
      </c>
      <c r="BZ245" s="8"/>
      <c r="CA245" s="61">
        <f t="shared" si="242"/>
        <v>2.1</v>
      </c>
      <c r="CB245" s="61">
        <f t="shared" si="243"/>
        <v>42.9</v>
      </c>
      <c r="CC245" s="61">
        <f t="shared" si="244"/>
        <v>8.2853968253968251</v>
      </c>
      <c r="CD245" s="14"/>
      <c r="CE245" s="35">
        <f t="shared" si="227"/>
        <v>29.80570850707851</v>
      </c>
      <c r="CF245" s="15">
        <f t="shared" si="245"/>
        <v>34.606999999999971</v>
      </c>
      <c r="CG245" s="35">
        <f t="shared" si="228"/>
        <v>39.408291492921435</v>
      </c>
      <c r="CI245" s="14"/>
      <c r="CJ245" s="17">
        <f t="shared" si="229"/>
        <v>-29.959999999999994</v>
      </c>
      <c r="CK245" s="17">
        <f t="shared" si="230"/>
        <v>-13.929999999999996</v>
      </c>
      <c r="CL245" s="17">
        <f t="shared" si="231"/>
        <v>10.840000000000003</v>
      </c>
      <c r="CM245" s="38">
        <f t="shared" si="246"/>
        <v>26.87</v>
      </c>
      <c r="CN245" s="17">
        <f t="shared" si="232"/>
        <v>51.64</v>
      </c>
      <c r="CO245" s="17">
        <f t="shared" si="233"/>
        <v>67.67</v>
      </c>
      <c r="CP245" s="17">
        <f t="shared" si="234"/>
        <v>92.44</v>
      </c>
      <c r="CQ245" s="2" cm="1">
        <f t="array" aca="1" ref="CQ245" ca="1">MAX(_xlfn._xlws.FILTER(CJ245:CP245,CJ245:CP245&lt;BL245))</f>
        <v>26.87</v>
      </c>
      <c r="CR245" s="2" cm="1">
        <f t="array" aca="1" ref="CR245" ca="1">MIN(_xlfn._xlws.FILTER($CJ245:$CP245,$CJ245:$CP245&gt;BL245))</f>
        <v>51.64</v>
      </c>
      <c r="CS245" s="16">
        <f t="shared" ca="1" si="248"/>
        <v>0.92184592482322292</v>
      </c>
      <c r="CT245" s="20">
        <f t="shared" ca="1" si="249"/>
        <v>-0.46092296241161146</v>
      </c>
      <c r="CU245" s="20">
        <f t="shared" ca="1" si="250"/>
        <v>-0.30728197494107429</v>
      </c>
      <c r="CV245" s="20">
        <f t="shared" ca="1" si="251"/>
        <v>-0.18436918496464458</v>
      </c>
      <c r="CW245" s="20">
        <f t="shared" ca="1" si="252"/>
        <v>-0.1024273249803581</v>
      </c>
      <c r="CX245" s="20">
        <f t="shared" ca="1" si="253"/>
        <v>-5.4226230871954287E-2</v>
      </c>
      <c r="CY245" s="20">
        <f t="shared" ca="1" si="254"/>
        <v>-2.7934724994643119E-2</v>
      </c>
      <c r="CZ245" s="20">
        <f t="shared" ca="1" si="255"/>
        <v>-1.4182244997280352E-2</v>
      </c>
      <c r="DA245" s="21">
        <f t="shared" ca="1" si="256"/>
        <v>1.4182244997280352E-2</v>
      </c>
      <c r="DB245" s="21">
        <f t="shared" ca="1" si="257"/>
        <v>2.7934724994643119E-2</v>
      </c>
      <c r="DC245" s="21">
        <f t="shared" ca="1" si="258"/>
        <v>5.4226230871954287E-2</v>
      </c>
      <c r="DD245" s="21">
        <f t="shared" ca="1" si="259"/>
        <v>0.1024273249803581</v>
      </c>
      <c r="DE245" s="21">
        <f t="shared" ca="1" si="260"/>
        <v>0.18436918496464458</v>
      </c>
      <c r="DF245" s="21">
        <f t="shared" ca="1" si="261"/>
        <v>0.30728197494107429</v>
      </c>
      <c r="DG245" s="21">
        <f t="shared" ca="1" si="262"/>
        <v>0.46092296241161146</v>
      </c>
      <c r="DI245" s="16" cm="1">
        <f t="array" aca="1" ref="DI245" ca="1">MAX(_xlfn._xlws.FILTER(CT245:DG245,CT245:DG245&lt;BR245))</f>
        <v>-2.7934724994643119E-2</v>
      </c>
      <c r="DJ245" s="16" cm="1">
        <f t="array" aca="1" ref="DJ245" ca="1">MIN(_xlfn._xlws.FILTER(CT245:DG245,CT245:DG245&gt;BR245))</f>
        <v>-1.4182244997280352E-2</v>
      </c>
      <c r="DK245" s="2" cm="1">
        <f t="array" aca="1" ref="DK245" ca="1">_FV(EC245,"Fechamento anterior",TRUE)</f>
        <v>33.11</v>
      </c>
      <c r="DL245" s="28">
        <f t="shared" ca="1" si="235"/>
        <v>0.29630029829246796</v>
      </c>
      <c r="DM245" s="15">
        <f t="shared" ca="1" si="263"/>
        <v>32.185081255427363</v>
      </c>
      <c r="DN245" s="15">
        <f t="shared" ca="1" si="264"/>
        <v>32.640425868140049</v>
      </c>
      <c r="DO245" s="9"/>
      <c r="DP245" s="9"/>
      <c r="DQ245" s="9"/>
      <c r="DR245" s="89">
        <v>1.2901232849722666E-2</v>
      </c>
      <c r="DS245" s="89">
        <v>1.3792699096328272E-2</v>
      </c>
      <c r="DT245" s="89">
        <v>1.3752479997362767E-2</v>
      </c>
      <c r="DU245" s="89">
        <v>1.3752479997362767E-2</v>
      </c>
      <c r="DV245" s="89">
        <f t="shared" ca="1" si="236"/>
        <v>1.3752479997362767E-2</v>
      </c>
      <c r="DW245" s="72">
        <f t="shared" ca="1" si="237"/>
        <v>-0.47633017144901374</v>
      </c>
      <c r="DX245" s="37"/>
      <c r="DY245" s="35">
        <f t="shared" si="247"/>
        <v>2.4006457464607305</v>
      </c>
      <c r="DZ245" s="56"/>
      <c r="EA245" s="56"/>
      <c r="EC245" s="2" t="e" vm="247">
        <v>#VALUE!</v>
      </c>
      <c r="EE245" s="10" cm="1">
        <f t="array" aca="1" ref="EE245" ca="1">_FV(EC245,"Ações em circulação",TRUE)</f>
        <v>502630900</v>
      </c>
      <c r="EF245" s="18">
        <f>VLOOKUP(BM245,Fundamentus!A:U,5,FALSE)</f>
        <v>0.66600000000000004</v>
      </c>
      <c r="EG245" s="2">
        <f t="shared" ca="1" si="238"/>
        <v>24391937969.969967</v>
      </c>
      <c r="EH245" s="17">
        <v>-443933271.05345345</v>
      </c>
      <c r="EI245" s="17">
        <f t="shared" ca="1" si="239"/>
        <v>-443933271.05345345</v>
      </c>
      <c r="EK245" s="16">
        <f t="shared" ca="1" si="226"/>
        <v>0</v>
      </c>
      <c r="EL245" s="32" t="str">
        <f>IF(VLOOKUP(BM245,Fundamentus!A:U,3,FALSE)&lt;15,"Bom",IF(VLOOKUP(BM245,Fundamentus!A:U,3,FALSE)&gt;15,"Ruim","n/a"))</f>
        <v>Bom</v>
      </c>
      <c r="EM245" s="28" t="str">
        <f>IF(VLOOKUP(BM245,Fundamentus!A:U,4,FALSE)&lt;1,"Baixo",IF(VLOOKUP(BM245,Fundamentus!A:U,4,FALSE)&lt;1.5,"Moderado",IF(VLOOKUP(BM245,Fundamentus!A:U,4,FALSE)&gt;1.5,"Alto","n/a")))</f>
        <v>Baixo</v>
      </c>
      <c r="EN245" s="17" t="str">
        <f>IF(VLOOKUP(BM245,Fundamentus!A:U,8,FALSE)&lt;0,"Risco elevado",IF(VLOOKUP(BM245,Fundamentus!A:U,8,FALSE)&lt;1,"Saudável",IF(VLOOKUP(BM245,Fundamentus!A:U,8,FALSE)&lt;3,"Estável",IF(VLOOKUP(BM245,Fundamentus!A:U,8,FALSE)&gt;3,"Alerta","n/a"))))</f>
        <v>Alerta</v>
      </c>
      <c r="EO245" s="28" t="str">
        <f t="shared" si="240"/>
        <v>Ruim</v>
      </c>
      <c r="EP245" s="17" t="str">
        <f>IF(VLOOKUP(BM245,Fundamentus!A:U,12,FALSE)&lt;2,"Subvalorizada",IF(VLOOKUP(BM245,Fundamentus!A:U,12,FALSE)&lt;6,"Muita barata",IF(VLOOKUP(BM245,Fundamentus!A:U,12,FALSE)&lt;6,"Barata",IF(VLOOKUP(BM245,Fundamentus!A:U,12,FALSE)&lt;8,"Atrativa",IF(VLOOKUP(BM245,Fundamentus!A:U,12,FALSE)&gt;8,"Supervalorizada","n/a")))))</f>
        <v>Supervalorizada</v>
      </c>
      <c r="ER245" s="17" t="str">
        <f>IF(VLOOKUP(BM245,Fundamentus!A:U,17,FALSE)&lt;0.1,"Fraco retorno",IF(VLOOKUP(BM245,Fundamentus!A:U,17,FALSE)&gt;0.1,"Bom retorno","n/a"))</f>
        <v>Fraco retorno</v>
      </c>
      <c r="ES245" s="17" t="str">
        <f>IF(VLOOKUP(BM245,Fundamentus!A:U,16,FALSE)&lt;0.1,"Ineficiente",IF(VLOOKUP(BM245,Fundamentus!A:U,16,FALSE)&gt;0.1,"Eficiente","n/a"))</f>
        <v>Ineficiente</v>
      </c>
      <c r="ET245" s="33" t="str">
        <f>IF(VLOOKUP(BM245,Fundamentus!A:U,16,FALSE)&lt;0.1,"Oper. Ineficiente",IF(VLOOKUP(BM245,Fundamentus!A:U,16,FALSE)&gt;0.1,"Oper.Eficiente","n/a"))</f>
        <v>Oper. Ineficiente</v>
      </c>
      <c r="EU245" s="34">
        <f>VLOOKUP(BM245,Fundamentus!A:U,14,FALSE)</f>
        <v>-1.8200000000000001E-2</v>
      </c>
      <c r="EV245" s="17" t="str">
        <f>IF(VLOOKUP(BM245,Fundamentus!A:U,21,FALSE)&lt;0,"Negativo",IF(VLOOKUP(BM245,Fundamentus!A:U,21,FALSE)&lt;0.05,"Fraco",IF(VLOOKUP(BM245,Fundamentus!A:U,21,FALSE)&lt;0.1,"Bom",IF(VLOOKUP(BM245,Fundamentus!A:U,21,FALSE)&gt;0.1,"Muito bom","n/a"))))</f>
        <v>Muito bom</v>
      </c>
      <c r="EX245" s="29" t="str">
        <f>IF(VLOOKUP(BM245,Fundamentus!A:U,15,FALSE)&gt;1,"Bom",IF(VLOOKUP(BM245,Fundamentus!A:U,15,FALSE)&lt;1,"Ruim","n/a"))</f>
        <v>Bom</v>
      </c>
      <c r="EY245" s="17" t="str">
        <f>IF(VLOOKUP(BM245,Fundamentus!A:U,20,FALSE)&lt;0.5,"Baixa",IF(VLOOKUP(BM245,Fundamentus!A:U,20,FALSE)&lt;1,"Moderada",IF(VLOOKUP(BM245,Fundamentus!A:U,20,FALSE)&lt;2,"Alerta",IF(VLOOKUP(BM245,Fundamentus!A:U,20,FALSE)&gt;2,"Alta","n/a"))))</f>
        <v>Baixa</v>
      </c>
    </row>
    <row r="246" spans="1:155" s="2" customFormat="1" ht="11.25" x14ac:dyDescent="0.2">
      <c r="A246" s="4">
        <v>0.39</v>
      </c>
      <c r="B246" s="4">
        <v>0.38</v>
      </c>
      <c r="C246" s="4">
        <v>0.38</v>
      </c>
      <c r="D246" s="4">
        <v>0.34</v>
      </c>
      <c r="E246" s="4">
        <v>6.39</v>
      </c>
      <c r="F246" s="4">
        <v>6.9</v>
      </c>
      <c r="G246" s="4">
        <v>6.29</v>
      </c>
      <c r="H246" s="4">
        <v>5.15</v>
      </c>
      <c r="I246" s="4">
        <v>4.3899999999999997</v>
      </c>
      <c r="J246" s="4">
        <v>4.7</v>
      </c>
      <c r="K246" s="4">
        <v>4.6399999999999997</v>
      </c>
      <c r="L246" s="4">
        <v>4.18</v>
      </c>
      <c r="M246" s="4">
        <v>3.91</v>
      </c>
      <c r="N246" s="4">
        <v>4.18</v>
      </c>
      <c r="O246" s="4">
        <v>7.27</v>
      </c>
      <c r="P246" s="4">
        <v>5.36</v>
      </c>
      <c r="Q246" s="4">
        <v>6.1</v>
      </c>
      <c r="R246" s="4">
        <v>6.39</v>
      </c>
      <c r="S246" s="4">
        <v>5.77</v>
      </c>
      <c r="T246" s="4">
        <v>5.65</v>
      </c>
      <c r="U246" s="4">
        <v>4.6500000000000004</v>
      </c>
      <c r="V246" s="4">
        <v>4.55</v>
      </c>
      <c r="W246" s="4">
        <v>4.42</v>
      </c>
      <c r="X246" s="4">
        <v>4.49</v>
      </c>
      <c r="Y246" s="4">
        <v>4.84</v>
      </c>
      <c r="Z246" s="4">
        <v>3.99</v>
      </c>
      <c r="AA246" s="4">
        <v>3.77</v>
      </c>
      <c r="AB246" s="4">
        <v>3.74</v>
      </c>
      <c r="AC246" s="4">
        <v>3.37</v>
      </c>
      <c r="AD246" s="4">
        <v>3.53</v>
      </c>
      <c r="AE246" s="4">
        <v>3.55</v>
      </c>
      <c r="AF246" s="4">
        <v>3.23</v>
      </c>
      <c r="AG246" s="4">
        <v>2.89</v>
      </c>
      <c r="AH246" s="4">
        <v>2.2999999999999998</v>
      </c>
      <c r="AI246" s="4">
        <v>2.57</v>
      </c>
      <c r="AJ246" s="4">
        <v>2.7</v>
      </c>
      <c r="AK246" s="4">
        <v>2.65</v>
      </c>
      <c r="AL246" s="4">
        <v>3.32</v>
      </c>
      <c r="AM246" s="4">
        <v>2.67</v>
      </c>
      <c r="AN246" s="4">
        <v>2.65</v>
      </c>
      <c r="AO246" s="4">
        <v>2.41</v>
      </c>
      <c r="AP246" s="4">
        <v>2.31</v>
      </c>
      <c r="AQ246" s="4">
        <v>2.25</v>
      </c>
      <c r="AR246" s="4">
        <v>1.98</v>
      </c>
      <c r="AS246" s="4">
        <v>1.98</v>
      </c>
      <c r="AT246" s="4">
        <v>2.08</v>
      </c>
      <c r="AU246" s="4">
        <v>2.0699999999999998</v>
      </c>
      <c r="AV246" s="4">
        <v>2.0099999999999998</v>
      </c>
      <c r="AW246" s="4">
        <v>2.1</v>
      </c>
      <c r="AX246" s="4">
        <v>2.0099999999999998</v>
      </c>
      <c r="AY246" s="12">
        <v>2.04</v>
      </c>
      <c r="AZ246" s="12">
        <v>2.02</v>
      </c>
      <c r="BA246" s="12">
        <v>1.91</v>
      </c>
      <c r="BB246" s="15">
        <v>2.0099999999999998</v>
      </c>
      <c r="BC246" s="52">
        <v>1.98</v>
      </c>
      <c r="BD246" s="52">
        <v>1.96</v>
      </c>
      <c r="BE246" s="52">
        <v>1.77</v>
      </c>
      <c r="BF246" s="52">
        <v>1.72</v>
      </c>
      <c r="BG246" s="67">
        <v>1.57</v>
      </c>
      <c r="BH246" s="52">
        <v>1.2</v>
      </c>
      <c r="BI246" s="52">
        <v>0.95</v>
      </c>
      <c r="BJ246" s="52">
        <v>1.1200000000000001</v>
      </c>
      <c r="BK246" s="52">
        <v>1.08</v>
      </c>
      <c r="BL246" s="52" cm="1">
        <f t="array" aca="1" ref="BL246" ca="1">_FV(EC246,"Preço")</f>
        <v>1.08</v>
      </c>
      <c r="BM246" s="69" t="s">
        <v>242</v>
      </c>
      <c r="BN246" s="36" cm="1">
        <f t="array" aca="1" ref="BN246" ca="1">_FV(EC246,"Média de volume",TRUE)</f>
        <v>1285730</v>
      </c>
      <c r="BO246" s="36">
        <v>478400</v>
      </c>
      <c r="BP246" s="36" cm="1">
        <f t="array" aca="1" ref="BP246" ca="1">_FV(EC246,"Volume")</f>
        <v>478400</v>
      </c>
      <c r="BQ246" s="24" cm="1">
        <f t="array" aca="1" ref="BQ246" ca="1">_FV(EC246,"Beta")</f>
        <v>1.8154999999999999</v>
      </c>
      <c r="BR246" s="71" cm="1">
        <f t="array" aca="1" ref="BR246" ca="1">_FV(EC246,"Variação (%)",TRUE)</f>
        <v>6.9306999999999994E-2</v>
      </c>
      <c r="BT246" s="17" cm="1">
        <f t="array" aca="1" ref="BT246" ca="1">_FV(EC246,"Baixo")</f>
        <v>0.99</v>
      </c>
      <c r="BU246" s="17" cm="1">
        <f t="array" aca="1" ref="BU246" ca="1">_FV(EC246,"Alto")</f>
        <v>1.0900000000000001</v>
      </c>
      <c r="BV246" s="24"/>
      <c r="BW246" s="63">
        <f ca="1">SQRT(22.5*(BL246/VLOOKUP(BM246,Fundamentus!A:U,3,FALSE))*(BL246/VLOOKUP(BM246,Fundamentus!A:U,4,FALSE)))</f>
        <v>61.23024462749482</v>
      </c>
      <c r="BY246" s="62">
        <f t="shared" ca="1" si="241"/>
        <v>0</v>
      </c>
      <c r="BZ246" s="8"/>
      <c r="CA246" s="61">
        <f t="shared" si="242"/>
        <v>0.34</v>
      </c>
      <c r="CB246" s="61">
        <f t="shared" si="243"/>
        <v>7.27</v>
      </c>
      <c r="CC246" s="61">
        <f t="shared" si="244"/>
        <v>3.1931746031746018</v>
      </c>
      <c r="CD246" s="14"/>
      <c r="CE246" s="35">
        <f t="shared" si="227"/>
        <v>0.5252292016074378</v>
      </c>
      <c r="CF246" s="15">
        <f t="shared" si="245"/>
        <v>1.078000000000003</v>
      </c>
      <c r="CG246" s="35">
        <f t="shared" si="228"/>
        <v>1.6307707983925681</v>
      </c>
      <c r="CI246" s="14"/>
      <c r="CJ246" s="17">
        <f t="shared" si="229"/>
        <v>-8.379999999999999</v>
      </c>
      <c r="CK246" s="17">
        <f t="shared" si="230"/>
        <v>-4.0199999999999996</v>
      </c>
      <c r="CL246" s="17">
        <f t="shared" si="231"/>
        <v>-1.4499999999999993</v>
      </c>
      <c r="CM246" s="38">
        <f t="shared" si="246"/>
        <v>2.91</v>
      </c>
      <c r="CN246" s="17">
        <f t="shared" si="232"/>
        <v>5.48</v>
      </c>
      <c r="CO246" s="17">
        <f t="shared" si="233"/>
        <v>9.84</v>
      </c>
      <c r="CP246" s="17">
        <f t="shared" si="234"/>
        <v>12.41</v>
      </c>
      <c r="CQ246" s="2" cm="1">
        <f t="array" aca="1" ref="CQ246" ca="1">MAX(_xlfn._xlws.FILTER(CJ246:CP246,CJ246:CP246&lt;BL246))</f>
        <v>-1.4499999999999993</v>
      </c>
      <c r="CR246" s="2" cm="1">
        <f t="array" aca="1" ref="CR246" ca="1">MIN(_xlfn._xlws.FILTER($CJ246:$CP246,$CJ246:$CP246&gt;BL246))</f>
        <v>2.91</v>
      </c>
      <c r="CS246" s="16">
        <f t="shared" ca="1" si="248"/>
        <v>-3.0068965517241391</v>
      </c>
      <c r="CT246" s="20">
        <f t="shared" ca="1" si="249"/>
        <v>1.5034482758620695</v>
      </c>
      <c r="CU246" s="20">
        <f t="shared" ca="1" si="250"/>
        <v>1.002298850574713</v>
      </c>
      <c r="CV246" s="20">
        <f t="shared" ca="1" si="251"/>
        <v>0.60137931034482783</v>
      </c>
      <c r="CW246" s="20">
        <f t="shared" ca="1" si="252"/>
        <v>0.33409961685823769</v>
      </c>
      <c r="CX246" s="20">
        <f t="shared" ca="1" si="253"/>
        <v>0.17687626774847875</v>
      </c>
      <c r="CY246" s="20">
        <f t="shared" ca="1" si="254"/>
        <v>9.1118077324973915E-2</v>
      </c>
      <c r="CZ246" s="20">
        <f t="shared" ca="1" si="255"/>
        <v>4.6259946949602136E-2</v>
      </c>
      <c r="DA246" s="21">
        <f t="shared" ca="1" si="256"/>
        <v>-4.6259946949602136E-2</v>
      </c>
      <c r="DB246" s="21">
        <f t="shared" ca="1" si="257"/>
        <v>-9.1118077324973915E-2</v>
      </c>
      <c r="DC246" s="21">
        <f t="shared" ca="1" si="258"/>
        <v>-0.17687626774847875</v>
      </c>
      <c r="DD246" s="21">
        <f t="shared" ca="1" si="259"/>
        <v>-0.33409961685823769</v>
      </c>
      <c r="DE246" s="21">
        <f t="shared" ca="1" si="260"/>
        <v>-0.60137931034482783</v>
      </c>
      <c r="DF246" s="21">
        <f t="shared" ca="1" si="261"/>
        <v>-1.002298850574713</v>
      </c>
      <c r="DG246" s="21">
        <f t="shared" ca="1" si="262"/>
        <v>-1.5034482758620695</v>
      </c>
      <c r="DI246" s="16" cm="1">
        <f t="array" aca="1" ref="DI246" ca="1">MAX(_xlfn._xlws.FILTER(CT246:DG246,CT246:DG246&lt;BR246))</f>
        <v>4.6259946949602136E-2</v>
      </c>
      <c r="DJ246" s="16" cm="1">
        <f t="array" aca="1" ref="DJ246" ca="1">MIN(_xlfn._xlws.FILTER(CT246:DG246,CT246:DG246&gt;BR246))</f>
        <v>9.1118077324973915E-2</v>
      </c>
      <c r="DK246" s="2" cm="1">
        <f t="array" aca="1" ref="DK246" ca="1">_FV(EC246,"Fechamento anterior",TRUE)</f>
        <v>1.01</v>
      </c>
      <c r="DL246" s="28">
        <f t="shared" ca="1" si="235"/>
        <v>0.51377495117631211</v>
      </c>
      <c r="DM246" s="15">
        <f t="shared" ca="1" si="263"/>
        <v>1.0567225464190981</v>
      </c>
      <c r="DN246" s="15">
        <f t="shared" ca="1" si="264"/>
        <v>1.1020292580982236</v>
      </c>
      <c r="DO246" s="9"/>
      <c r="DP246" s="9"/>
      <c r="DQ246" s="9"/>
      <c r="DR246" s="89">
        <v>7.3136502052164695E-2</v>
      </c>
      <c r="DS246" s="89">
        <v>5.4614371136110285E-2</v>
      </c>
      <c r="DT246" s="89">
        <v>4.4858130375371778E-2</v>
      </c>
      <c r="DU246" s="89">
        <v>4.4858130375371778E-2</v>
      </c>
      <c r="DV246" s="89">
        <f t="shared" ca="1" si="236"/>
        <v>4.4858130375371778E-2</v>
      </c>
      <c r="DW246" s="72">
        <f t="shared" ca="1" si="237"/>
        <v>3.6181361349279543E-3</v>
      </c>
      <c r="DX246" s="37"/>
      <c r="DY246" s="35">
        <f t="shared" si="247"/>
        <v>0.27638539919628258</v>
      </c>
      <c r="DZ246" s="56"/>
      <c r="EA246" s="56"/>
      <c r="EC246" s="2" t="e" vm="248">
        <v>#VALUE!</v>
      </c>
      <c r="EE246" s="10" cm="1">
        <f t="array" aca="1" ref="EE246" ca="1">_FV(EC246,"Ações em circulação",TRUE)</f>
        <v>50311580</v>
      </c>
      <c r="EF246" s="18">
        <f>VLOOKUP(BM246,Fundamentus!A:U,5,FALSE)</f>
        <v>0.10299999999999999</v>
      </c>
      <c r="EG246" s="2">
        <f t="shared" ca="1" si="238"/>
        <v>527538897.08737874</v>
      </c>
      <c r="EH246" s="17">
        <v>-876980662.51805842</v>
      </c>
      <c r="EI246" s="17">
        <f t="shared" ca="1" si="239"/>
        <v>-876980662.51805842</v>
      </c>
      <c r="EK246" s="16">
        <f t="shared" ca="1" si="226"/>
        <v>0</v>
      </c>
      <c r="EL246" s="32" t="str">
        <f>IF(VLOOKUP(BM246,Fundamentus!A:U,3,FALSE)&lt;15,"Bom",IF(VLOOKUP(BM246,Fundamentus!A:U,3,FALSE)&gt;15,"Ruim","n/a"))</f>
        <v>Bom</v>
      </c>
      <c r="EM246" s="28" t="str">
        <f>IF(VLOOKUP(BM246,Fundamentus!A:U,4,FALSE)&lt;1,"Baixo",IF(VLOOKUP(BM246,Fundamentus!A:U,4,FALSE)&lt;1.5,"Moderado",IF(VLOOKUP(BM246,Fundamentus!A:U,4,FALSE)&gt;1.5,"Alto","n/a")))</f>
        <v>Baixo</v>
      </c>
      <c r="EN246" s="17" t="str">
        <f>IF(VLOOKUP(BM246,Fundamentus!A:U,8,FALSE)&lt;0,"Risco elevado",IF(VLOOKUP(BM246,Fundamentus!A:U,8,FALSE)&lt;1,"Saudável",IF(VLOOKUP(BM246,Fundamentus!A:U,8,FALSE)&lt;3,"Estável",IF(VLOOKUP(BM246,Fundamentus!A:U,8,FALSE)&gt;3,"Alerta","n/a"))))</f>
        <v>Risco elevado</v>
      </c>
      <c r="EO246" s="28" t="str">
        <f t="shared" si="240"/>
        <v>Ruim</v>
      </c>
      <c r="EP246" s="17" t="str">
        <f>IF(VLOOKUP(BM246,Fundamentus!A:U,12,FALSE)&lt;2,"Subvalorizada",IF(VLOOKUP(BM246,Fundamentus!A:U,12,FALSE)&lt;6,"Muita barata",IF(VLOOKUP(BM246,Fundamentus!A:U,12,FALSE)&lt;6,"Barata",IF(VLOOKUP(BM246,Fundamentus!A:U,12,FALSE)&lt;8,"Atrativa",IF(VLOOKUP(BM246,Fundamentus!A:U,12,FALSE)&gt;8,"Supervalorizada","n/a")))))</f>
        <v>Subvalorizada</v>
      </c>
      <c r="ER246" s="17" t="str">
        <f>IF(VLOOKUP(BM246,Fundamentus!A:U,17,FALSE)&lt;0.1,"Fraco retorno",IF(VLOOKUP(BM246,Fundamentus!A:U,17,FALSE)&gt;0.1,"Bom retorno","n/a"))</f>
        <v>Bom retorno</v>
      </c>
      <c r="ES246" s="17" t="str">
        <f>IF(VLOOKUP(BM246,Fundamentus!A:U,16,FALSE)&lt;0.1,"Ineficiente",IF(VLOOKUP(BM246,Fundamentus!A:U,16,FALSE)&gt;0.1,"Eficiente","n/a"))</f>
        <v>Ineficiente</v>
      </c>
      <c r="ET246" s="33" t="str">
        <f>IF(VLOOKUP(BM246,Fundamentus!A:U,16,FALSE)&lt;0.1,"Oper. Ineficiente",IF(VLOOKUP(BM246,Fundamentus!A:U,16,FALSE)&gt;0.1,"Oper.Eficiente","n/a"))</f>
        <v>Oper. Ineficiente</v>
      </c>
      <c r="EU246" s="34">
        <f>VLOOKUP(BM246,Fundamentus!A:U,14,FALSE)</f>
        <v>-1.6624000000000001</v>
      </c>
      <c r="EV246" s="17" t="str">
        <f>IF(VLOOKUP(BM246,Fundamentus!A:U,21,FALSE)&lt;0,"Negativo",IF(VLOOKUP(BM246,Fundamentus!A:U,21,FALSE)&lt;0.05,"Fraco",IF(VLOOKUP(BM246,Fundamentus!A:U,21,FALSE)&lt;0.1,"Bom",IF(VLOOKUP(BM246,Fundamentus!A:U,21,FALSE)&gt;0.1,"Muito bom","n/a"))))</f>
        <v>Negativo</v>
      </c>
      <c r="EX246" s="29" t="str">
        <f>IF(VLOOKUP(BM246,Fundamentus!A:U,15,FALSE)&gt;1,"Bom",IF(VLOOKUP(BM246,Fundamentus!A:U,15,FALSE)&lt;1,"Ruim","n/a"))</f>
        <v>Ruim</v>
      </c>
      <c r="EY246" s="17" t="str">
        <f>IF(VLOOKUP(BM246,Fundamentus!A:U,20,FALSE)&lt;0.5,"Baixa",IF(VLOOKUP(BM246,Fundamentus!A:U,20,FALSE)&lt;1,"Moderada",IF(VLOOKUP(BM246,Fundamentus!A:U,20,FALSE)&lt;2,"Alerta",IF(VLOOKUP(BM246,Fundamentus!A:U,20,FALSE)&gt;2,"Alta","n/a"))))</f>
        <v>Baixa</v>
      </c>
    </row>
    <row r="247" spans="1:155" s="2" customFormat="1" ht="11.25" x14ac:dyDescent="0.2">
      <c r="A247" s="4">
        <v>3.9</v>
      </c>
      <c r="B247" s="4">
        <v>3.37</v>
      </c>
      <c r="C247" s="4">
        <v>3.33</v>
      </c>
      <c r="D247" s="4">
        <v>2.99</v>
      </c>
      <c r="E247" s="4">
        <v>3.15</v>
      </c>
      <c r="F247" s="4">
        <v>3.4</v>
      </c>
      <c r="G247" s="4">
        <v>3.55</v>
      </c>
      <c r="H247" s="4">
        <v>3.7</v>
      </c>
      <c r="I247" s="4">
        <v>3.74</v>
      </c>
      <c r="J247" s="4">
        <v>3.91</v>
      </c>
      <c r="K247" s="4">
        <v>3.5</v>
      </c>
      <c r="L247" s="4">
        <v>3.39</v>
      </c>
      <c r="M247" s="4">
        <v>3.5</v>
      </c>
      <c r="N247" s="4">
        <v>3.21</v>
      </c>
      <c r="O247" s="4">
        <v>3.4</v>
      </c>
      <c r="P247" s="4">
        <v>3.4</v>
      </c>
      <c r="Q247" s="4">
        <v>3.47</v>
      </c>
      <c r="R247" s="4">
        <v>3.05</v>
      </c>
      <c r="S247" s="4">
        <v>3.13</v>
      </c>
      <c r="T247" s="4">
        <v>3.05</v>
      </c>
      <c r="U247" s="4">
        <v>2.65</v>
      </c>
      <c r="V247" s="4">
        <v>2.65</v>
      </c>
      <c r="W247" s="4">
        <v>2.66</v>
      </c>
      <c r="X247" s="4">
        <v>2.4900000000000002</v>
      </c>
      <c r="Y247" s="4">
        <v>2.44</v>
      </c>
      <c r="Z247" s="4">
        <v>2.5</v>
      </c>
      <c r="AA247" s="4">
        <v>2.2999999999999998</v>
      </c>
      <c r="AB247" s="4">
        <v>2.62</v>
      </c>
      <c r="AC247" s="4">
        <v>2.8</v>
      </c>
      <c r="AD247" s="4">
        <v>2.93</v>
      </c>
      <c r="AE247" s="4">
        <v>2.99</v>
      </c>
      <c r="AF247" s="4">
        <v>2.57</v>
      </c>
      <c r="AG247" s="4">
        <v>2.64</v>
      </c>
      <c r="AH247" s="4">
        <v>2.2999999999999998</v>
      </c>
      <c r="AI247" s="4">
        <v>2.27</v>
      </c>
      <c r="AJ247" s="4">
        <v>2.15</v>
      </c>
      <c r="AK247" s="4">
        <v>2.61</v>
      </c>
      <c r="AL247" s="4">
        <v>2.6</v>
      </c>
      <c r="AM247" s="4">
        <v>3.05</v>
      </c>
      <c r="AN247" s="4">
        <v>2.91</v>
      </c>
      <c r="AO247" s="4">
        <v>2.59</v>
      </c>
      <c r="AP247" s="4">
        <v>2.5</v>
      </c>
      <c r="AQ247" s="4">
        <v>2.35</v>
      </c>
      <c r="AR247" s="4">
        <v>2.66</v>
      </c>
      <c r="AS247" s="4">
        <v>2.8</v>
      </c>
      <c r="AT247" s="4">
        <v>2.8</v>
      </c>
      <c r="AU247" s="4">
        <v>2.5449999999999999</v>
      </c>
      <c r="AV247" s="4">
        <v>3.02</v>
      </c>
      <c r="AW247" s="4">
        <v>3.01</v>
      </c>
      <c r="AX247" s="4">
        <v>2.89</v>
      </c>
      <c r="AY247" s="12">
        <v>3.03</v>
      </c>
      <c r="AZ247" s="12">
        <v>3.06</v>
      </c>
      <c r="BA247" s="12">
        <v>3.14</v>
      </c>
      <c r="BB247" s="15">
        <v>3</v>
      </c>
      <c r="BC247" s="52">
        <v>3.11</v>
      </c>
      <c r="BD247" s="52">
        <v>3.59</v>
      </c>
      <c r="BE247" s="52">
        <v>3.43</v>
      </c>
      <c r="BF247" s="52">
        <v>3.32</v>
      </c>
      <c r="BG247" s="67">
        <v>3.47</v>
      </c>
      <c r="BH247" s="52">
        <v>3.41</v>
      </c>
      <c r="BI247" s="52">
        <v>3.43</v>
      </c>
      <c r="BJ247" s="52">
        <v>3.4</v>
      </c>
      <c r="BK247" s="52">
        <v>3.38</v>
      </c>
      <c r="BL247" s="52" cm="1">
        <f t="array" aca="1" ref="BL247" ca="1">_FV(EC247,"Preço")</f>
        <v>3.38</v>
      </c>
      <c r="BM247" s="69" t="s">
        <v>243</v>
      </c>
      <c r="BN247" s="36" cm="1">
        <f t="array" aca="1" ref="BN247" ca="1">_FV(EC247,"Média de volume",TRUE)</f>
        <v>250560</v>
      </c>
      <c r="BO247" s="36">
        <v>872800</v>
      </c>
      <c r="BP247" s="36" cm="1">
        <f t="array" aca="1" ref="BP247" ca="1">_FV(EC247,"Volume")</f>
        <v>872800</v>
      </c>
      <c r="BQ247" s="24" cm="1">
        <f t="array" aca="1" ref="BQ247" ca="1">_FV(EC247,"Beta")</f>
        <v>1.2003999999999999</v>
      </c>
      <c r="BR247" s="71" cm="1">
        <f t="array" aca="1" ref="BR247" ca="1">_FV(EC247,"Variação (%)",TRUE)</f>
        <v>2.967E-3</v>
      </c>
      <c r="BT247" s="17" cm="1">
        <f t="array" aca="1" ref="BT247" ca="1">_FV(EC247,"Baixo")</f>
        <v>3.3</v>
      </c>
      <c r="BU247" s="17" cm="1">
        <f t="array" aca="1" ref="BU247" ca="1">_FV(EC247,"Alto")</f>
        <v>3.38</v>
      </c>
      <c r="BV247" s="24"/>
      <c r="BW247" s="63" t="e">
        <f ca="1">SQRT(22.5*(BL247/VLOOKUP(BM247,Fundamentus!A:U,3,FALSE))*(BL247/VLOOKUP(BM247,Fundamentus!A:U,4,FALSE)))</f>
        <v>#NUM!</v>
      </c>
      <c r="BY247" s="62">
        <f t="shared" ca="1" si="241"/>
        <v>0</v>
      </c>
      <c r="BZ247" s="8"/>
      <c r="CA247" s="61">
        <f t="shared" si="242"/>
        <v>2.15</v>
      </c>
      <c r="CB247" s="61">
        <f t="shared" si="243"/>
        <v>3.91</v>
      </c>
      <c r="CC247" s="61">
        <f t="shared" si="244"/>
        <v>3.0191269841269839</v>
      </c>
      <c r="CD247" s="14"/>
      <c r="CE247" s="35">
        <f t="shared" si="227"/>
        <v>3.3070459051724423</v>
      </c>
      <c r="CF247" s="15">
        <f t="shared" si="245"/>
        <v>3.3990000000000009</v>
      </c>
      <c r="CG247" s="35">
        <f t="shared" si="228"/>
        <v>3.4909540948275595</v>
      </c>
      <c r="CI247" s="14"/>
      <c r="CJ247" s="17">
        <f t="shared" si="229"/>
        <v>0.63666666666666716</v>
      </c>
      <c r="CK247" s="17">
        <f t="shared" si="230"/>
        <v>1.3933333333333335</v>
      </c>
      <c r="CL247" s="17">
        <f t="shared" si="231"/>
        <v>2.3966666666666674</v>
      </c>
      <c r="CM247" s="38">
        <f t="shared" si="246"/>
        <v>3.1533333333333338</v>
      </c>
      <c r="CN247" s="17">
        <f t="shared" si="232"/>
        <v>4.1566666666666681</v>
      </c>
      <c r="CO247" s="17">
        <f t="shared" si="233"/>
        <v>4.913333333333334</v>
      </c>
      <c r="CP247" s="17">
        <f t="shared" si="234"/>
        <v>5.9166666666666679</v>
      </c>
      <c r="CQ247" s="2" cm="1">
        <f t="array" aca="1" ref="CQ247" ca="1">MAX(_xlfn._xlws.FILTER(CJ247:CP247,CJ247:CP247&lt;BL247))</f>
        <v>3.1533333333333338</v>
      </c>
      <c r="CR247" s="2" cm="1">
        <f t="array" aca="1" ref="CR247" ca="1">MIN(_xlfn._xlws.FILTER($CJ247:$CP247,$CJ247:$CP247&gt;BL247))</f>
        <v>4.1566666666666681</v>
      </c>
      <c r="CS247" s="16">
        <f t="shared" ca="1" si="248"/>
        <v>0.31818181818181834</v>
      </c>
      <c r="CT247" s="20">
        <f t="shared" ca="1" si="249"/>
        <v>-0.15909090909090917</v>
      </c>
      <c r="CU247" s="20">
        <f t="shared" ca="1" si="250"/>
        <v>-0.10606060606060612</v>
      </c>
      <c r="CV247" s="20">
        <f t="shared" ca="1" si="251"/>
        <v>-6.3636363636363671E-2</v>
      </c>
      <c r="CW247" s="20">
        <f t="shared" ca="1" si="252"/>
        <v>-3.5353535353535373E-2</v>
      </c>
      <c r="CX247" s="20">
        <f t="shared" ca="1" si="253"/>
        <v>-1.8716577540106961E-2</v>
      </c>
      <c r="CY247" s="20">
        <f t="shared" ca="1" si="254"/>
        <v>-9.6418732782369201E-3</v>
      </c>
      <c r="CZ247" s="20">
        <f t="shared" ca="1" si="255"/>
        <v>-4.8951048951048973E-3</v>
      </c>
      <c r="DA247" s="21">
        <f t="shared" ca="1" si="256"/>
        <v>4.8951048951048973E-3</v>
      </c>
      <c r="DB247" s="21">
        <f t="shared" ca="1" si="257"/>
        <v>9.6418732782369201E-3</v>
      </c>
      <c r="DC247" s="21">
        <f t="shared" ca="1" si="258"/>
        <v>1.8716577540106961E-2</v>
      </c>
      <c r="DD247" s="21">
        <f t="shared" ca="1" si="259"/>
        <v>3.5353535353535373E-2</v>
      </c>
      <c r="DE247" s="21">
        <f t="shared" ca="1" si="260"/>
        <v>6.3636363636363671E-2</v>
      </c>
      <c r="DF247" s="21">
        <f t="shared" ca="1" si="261"/>
        <v>0.10606060606060612</v>
      </c>
      <c r="DG247" s="21">
        <f t="shared" ca="1" si="262"/>
        <v>0.15909090909090917</v>
      </c>
      <c r="DI247" s="16" cm="1">
        <f t="array" aca="1" ref="DI247" ca="1">MAX(_xlfn._xlws.FILTER(CT247:DG247,CT247:DG247&lt;BR247))</f>
        <v>-4.8951048951048973E-3</v>
      </c>
      <c r="DJ247" s="16" cm="1">
        <f t="array" aca="1" ref="DJ247" ca="1">MIN(_xlfn._xlws.FILTER(CT247:DG247,CT247:DG247&gt;BR247))</f>
        <v>4.8951048951048973E-3</v>
      </c>
      <c r="DK247" s="2" cm="1">
        <f t="array" aca="1" ref="DK247" ca="1">_FV(EC247,"Fechamento anterior",TRUE)</f>
        <v>3.37</v>
      </c>
      <c r="DL247" s="28">
        <f t="shared" ca="1" si="235"/>
        <v>0.80309453158116884</v>
      </c>
      <c r="DM247" s="15">
        <f t="shared" ca="1" si="263"/>
        <v>3.3535034965034964</v>
      </c>
      <c r="DN247" s="15">
        <f t="shared" ca="1" si="264"/>
        <v>3.3864965034965038</v>
      </c>
      <c r="DO247" s="9"/>
      <c r="DP247" s="9"/>
      <c r="DQ247" s="9"/>
      <c r="DR247" s="89">
        <v>1.8386841916253682E-2</v>
      </c>
      <c r="DS247" s="89">
        <v>1.6898819688770942E-2</v>
      </c>
      <c r="DT247" s="89">
        <v>9.0747042618700407E-3</v>
      </c>
      <c r="DU247" s="89">
        <v>9.7902097902097945E-3</v>
      </c>
      <c r="DV247" s="89">
        <f t="shared" ca="1" si="236"/>
        <v>9.7902097902097945E-3</v>
      </c>
      <c r="DW247" s="72">
        <f t="shared" ca="1" si="237"/>
        <v>-0.20662483857441802</v>
      </c>
      <c r="DX247" s="37"/>
      <c r="DY247" s="35">
        <f t="shared" si="247"/>
        <v>4.5977047413779198E-2</v>
      </c>
      <c r="DZ247" s="56"/>
      <c r="EA247" s="56"/>
      <c r="EC247" s="2" t="e" vm="249">
        <v>#VALUE!</v>
      </c>
      <c r="EE247" s="10" cm="1">
        <f t="array" aca="1" ref="EE247" ca="1">_FV(EC247,"Ações em circulação",TRUE)</f>
        <v>406934400</v>
      </c>
      <c r="EF247" s="18">
        <f>VLOOKUP(BM247,Fundamentus!A:U,5,FALSE)</f>
        <v>0.30099999999999999</v>
      </c>
      <c r="EG247" s="2">
        <f t="shared" ca="1" si="238"/>
        <v>4569562365.4485054</v>
      </c>
      <c r="EH247" s="17">
        <v>-140285564.61926913</v>
      </c>
      <c r="EI247" s="17">
        <f t="shared" ca="1" si="239"/>
        <v>-140285564.61926913</v>
      </c>
      <c r="EK247" s="16">
        <f t="shared" ca="1" si="226"/>
        <v>0</v>
      </c>
      <c r="EL247" s="32" t="str">
        <f>IF(VLOOKUP(BM247,Fundamentus!A:U,3,FALSE)&lt;15,"Bom",IF(VLOOKUP(BM247,Fundamentus!A:U,3,FALSE)&gt;15,"Ruim","n/a"))</f>
        <v>Bom</v>
      </c>
      <c r="EM247" s="28" t="str">
        <f>IF(VLOOKUP(BM247,Fundamentus!A:U,4,FALSE)&lt;1,"Baixo",IF(VLOOKUP(BM247,Fundamentus!A:U,4,FALSE)&lt;1.5,"Moderado",IF(VLOOKUP(BM247,Fundamentus!A:U,4,FALSE)&gt;1.5,"Alto","n/a")))</f>
        <v>Baixo</v>
      </c>
      <c r="EN247" s="17" t="str">
        <f>IF(VLOOKUP(BM247,Fundamentus!A:U,8,FALSE)&lt;0,"Risco elevado",IF(VLOOKUP(BM247,Fundamentus!A:U,8,FALSE)&lt;1,"Saudável",IF(VLOOKUP(BM247,Fundamentus!A:U,8,FALSE)&lt;3,"Estável",IF(VLOOKUP(BM247,Fundamentus!A:U,8,FALSE)&gt;3,"Alerta","n/a"))))</f>
        <v>Alerta</v>
      </c>
      <c r="EO247" s="28" t="str">
        <f t="shared" si="240"/>
        <v>Ruim</v>
      </c>
      <c r="EP247" s="17" t="str">
        <f>IF(VLOOKUP(BM247,Fundamentus!A:U,12,FALSE)&lt;2,"Subvalorizada",IF(VLOOKUP(BM247,Fundamentus!A:U,12,FALSE)&lt;6,"Muita barata",IF(VLOOKUP(BM247,Fundamentus!A:U,12,FALSE)&lt;6,"Barata",IF(VLOOKUP(BM247,Fundamentus!A:U,12,FALSE)&lt;8,"Atrativa",IF(VLOOKUP(BM247,Fundamentus!A:U,12,FALSE)&gt;8,"Supervalorizada","n/a")))))</f>
        <v>Muita barata</v>
      </c>
      <c r="ER247" s="17" t="str">
        <f>IF(VLOOKUP(BM247,Fundamentus!A:U,17,FALSE)&lt;0.1,"Fraco retorno",IF(VLOOKUP(BM247,Fundamentus!A:U,17,FALSE)&gt;0.1,"Bom retorno","n/a"))</f>
        <v>Fraco retorno</v>
      </c>
      <c r="ES247" s="17" t="str">
        <f>IF(VLOOKUP(BM247,Fundamentus!A:U,16,FALSE)&lt;0.1,"Ineficiente",IF(VLOOKUP(BM247,Fundamentus!A:U,16,FALSE)&gt;0.1,"Eficiente","n/a"))</f>
        <v>Ineficiente</v>
      </c>
      <c r="ET247" s="33" t="str">
        <f>IF(VLOOKUP(BM247,Fundamentus!A:U,16,FALSE)&lt;0.1,"Oper. Ineficiente",IF(VLOOKUP(BM247,Fundamentus!A:U,16,FALSE)&gt;0.1,"Oper.Eficiente","n/a"))</f>
        <v>Oper. Ineficiente</v>
      </c>
      <c r="EU247" s="34">
        <f>VLOOKUP(BM247,Fundamentus!A:U,14,FALSE)</f>
        <v>-3.0700000000000002E-2</v>
      </c>
      <c r="EV247" s="17" t="str">
        <f>IF(VLOOKUP(BM247,Fundamentus!A:U,21,FALSE)&lt;0,"Negativo",IF(VLOOKUP(BM247,Fundamentus!A:U,21,FALSE)&lt;0.05,"Fraco",IF(VLOOKUP(BM247,Fundamentus!A:U,21,FALSE)&lt;0.1,"Bom",IF(VLOOKUP(BM247,Fundamentus!A:U,21,FALSE)&gt;0.1,"Muito bom","n/a"))))</f>
        <v>Muito bom</v>
      </c>
      <c r="EX247" s="29" t="str">
        <f>IF(VLOOKUP(BM247,Fundamentus!A:U,15,FALSE)&gt;1,"Bom",IF(VLOOKUP(BM247,Fundamentus!A:U,15,FALSE)&lt;1,"Ruim","n/a"))</f>
        <v>Bom</v>
      </c>
      <c r="EY247" s="17" t="str">
        <f>IF(VLOOKUP(BM247,Fundamentus!A:U,20,FALSE)&lt;0.5,"Baixa",IF(VLOOKUP(BM247,Fundamentus!A:U,20,FALSE)&lt;1,"Moderada",IF(VLOOKUP(BM247,Fundamentus!A:U,20,FALSE)&lt;2,"Alerta",IF(VLOOKUP(BM247,Fundamentus!A:U,20,FALSE)&gt;2,"Alta","n/a"))))</f>
        <v>Moderada</v>
      </c>
    </row>
    <row r="248" spans="1:155" s="2" customFormat="1" ht="11.25" x14ac:dyDescent="0.2">
      <c r="A248" s="4">
        <v>3.03</v>
      </c>
      <c r="B248" s="4">
        <v>2.71</v>
      </c>
      <c r="C248" s="4">
        <v>2.5099999999999998</v>
      </c>
      <c r="D248" s="4">
        <v>1.95</v>
      </c>
      <c r="E248" s="4">
        <v>1.87</v>
      </c>
      <c r="F248" s="4">
        <v>1.65</v>
      </c>
      <c r="G248" s="4">
        <v>1.7</v>
      </c>
      <c r="H248" s="4">
        <v>1.79</v>
      </c>
      <c r="I248" s="4">
        <v>1.87</v>
      </c>
      <c r="J248" s="4">
        <v>1.88</v>
      </c>
      <c r="K248" s="4">
        <v>1.85</v>
      </c>
      <c r="L248" s="4">
        <v>1.81</v>
      </c>
      <c r="M248" s="4">
        <v>2.0299999999999998</v>
      </c>
      <c r="N248" s="4">
        <v>1.86</v>
      </c>
      <c r="O248" s="4">
        <v>1.92</v>
      </c>
      <c r="P248" s="4">
        <v>2.2000000000000002</v>
      </c>
      <c r="Q248" s="4">
        <v>2.2599999999999998</v>
      </c>
      <c r="R248" s="4">
        <v>2.12</v>
      </c>
      <c r="S248" s="4">
        <v>1.93</v>
      </c>
      <c r="T248" s="4">
        <v>1.85</v>
      </c>
      <c r="U248" s="4">
        <v>1.9</v>
      </c>
      <c r="V248" s="4">
        <v>1.82</v>
      </c>
      <c r="W248" s="4">
        <v>1.89</v>
      </c>
      <c r="X248" s="4">
        <v>1.7</v>
      </c>
      <c r="Y248" s="4">
        <v>1.7</v>
      </c>
      <c r="Z248" s="4">
        <v>1.68</v>
      </c>
      <c r="AA248" s="4">
        <v>1.48</v>
      </c>
      <c r="AB248" s="4">
        <v>1.41</v>
      </c>
      <c r="AC248" s="4">
        <v>1.31</v>
      </c>
      <c r="AD248" s="4">
        <v>1.25</v>
      </c>
      <c r="AE248" s="4">
        <v>1.26</v>
      </c>
      <c r="AF248" s="4">
        <v>1.28</v>
      </c>
      <c r="AG248" s="4">
        <v>1.51</v>
      </c>
      <c r="AH248" s="4">
        <v>1.34</v>
      </c>
      <c r="AI248" s="4">
        <v>1.27</v>
      </c>
      <c r="AJ248" s="4">
        <v>1.29</v>
      </c>
      <c r="AK248" s="4">
        <v>1.33</v>
      </c>
      <c r="AL248" s="4">
        <v>1.44</v>
      </c>
      <c r="AM248" s="4">
        <v>1.49</v>
      </c>
      <c r="AN248" s="4">
        <v>1.4</v>
      </c>
      <c r="AO248" s="4">
        <v>1.44</v>
      </c>
      <c r="AP248" s="4">
        <v>1.55</v>
      </c>
      <c r="AQ248" s="4">
        <v>1.51</v>
      </c>
      <c r="AR248" s="4">
        <v>1.46</v>
      </c>
      <c r="AS248" s="4">
        <v>1.4</v>
      </c>
      <c r="AT248" s="4">
        <v>1.38</v>
      </c>
      <c r="AU248" s="4">
        <v>1.41</v>
      </c>
      <c r="AV248" s="4">
        <v>1.44</v>
      </c>
      <c r="AW248" s="4">
        <v>1.34</v>
      </c>
      <c r="AX248" s="4">
        <v>1.34</v>
      </c>
      <c r="AY248" s="12">
        <v>1.45</v>
      </c>
      <c r="AZ248" s="12">
        <v>1.44</v>
      </c>
      <c r="BA248" s="12">
        <v>1.38</v>
      </c>
      <c r="BB248" s="15">
        <v>2</v>
      </c>
      <c r="BC248" s="52">
        <v>1.81</v>
      </c>
      <c r="BD248" s="52">
        <v>1.65</v>
      </c>
      <c r="BE248" s="52">
        <v>1.62</v>
      </c>
      <c r="BF248" s="52">
        <v>1.66</v>
      </c>
      <c r="BG248" s="67">
        <v>1.75</v>
      </c>
      <c r="BH248" s="52">
        <v>1.68</v>
      </c>
      <c r="BI248" s="52">
        <v>1.64</v>
      </c>
      <c r="BJ248" s="52">
        <v>1.69</v>
      </c>
      <c r="BK248" s="52">
        <v>1.65</v>
      </c>
      <c r="BL248" s="52" cm="1">
        <f t="array" aca="1" ref="BL248" ca="1">_FV(EC248,"Preço")</f>
        <v>1.65</v>
      </c>
      <c r="BM248" s="69" t="s">
        <v>244</v>
      </c>
      <c r="BN248" s="36" cm="1">
        <f t="array" aca="1" ref="BN248" ca="1">_FV(EC248,"Média de volume",TRUE)</f>
        <v>39330</v>
      </c>
      <c r="BO248" s="36">
        <v>6600</v>
      </c>
      <c r="BP248" s="36" cm="1">
        <f t="array" aca="1" ref="BP248" ca="1">_FV(EC248,"Volume")</f>
        <v>6600</v>
      </c>
      <c r="BQ248" s="24" cm="1">
        <f t="array" aca="1" ref="BQ248" ca="1">_FV(EC248,"Beta")</f>
        <v>1.9399</v>
      </c>
      <c r="BR248" s="71" cm="1">
        <f t="array" aca="1" ref="BR248" ca="1">_FV(EC248,"Variação (%)",TRUE)</f>
        <v>0</v>
      </c>
      <c r="BT248" s="17" cm="1">
        <f t="array" aca="1" ref="BT248" ca="1">_FV(EC248,"Baixo")</f>
        <v>1.63</v>
      </c>
      <c r="BU248" s="17" cm="1">
        <f t="array" aca="1" ref="BU248" ca="1">_FV(EC248,"Alto")</f>
        <v>1.67</v>
      </c>
      <c r="BV248" s="24"/>
      <c r="BW248" s="63">
        <f ca="1">SQRT(22.5*(BL248/VLOOKUP(BM248,Fundamentus!A:U,3,FALSE))*(BL248/VLOOKUP(BM248,Fundamentus!A:U,4,FALSE)))</f>
        <v>60.027567196492406</v>
      </c>
      <c r="BY248" s="62">
        <f t="shared" ca="1" si="241"/>
        <v>0</v>
      </c>
      <c r="BZ248" s="8"/>
      <c r="CA248" s="61">
        <f t="shared" si="242"/>
        <v>1.25</v>
      </c>
      <c r="CB248" s="61">
        <f t="shared" si="243"/>
        <v>3.03</v>
      </c>
      <c r="CC248" s="61">
        <f t="shared" si="244"/>
        <v>1.6861904761904765</v>
      </c>
      <c r="CD248" s="14"/>
      <c r="CE248" s="35">
        <f t="shared" si="227"/>
        <v>1.5905047894302284</v>
      </c>
      <c r="CF248" s="15">
        <f t="shared" si="245"/>
        <v>1.6630000000000003</v>
      </c>
      <c r="CG248" s="35">
        <f t="shared" si="228"/>
        <v>1.7354952105697721</v>
      </c>
      <c r="CI248" s="14"/>
      <c r="CJ248" s="17">
        <f t="shared" si="229"/>
        <v>-0.83000000000000052</v>
      </c>
      <c r="CK248" s="17">
        <f t="shared" si="230"/>
        <v>0.20999999999999974</v>
      </c>
      <c r="CL248" s="17">
        <f t="shared" si="231"/>
        <v>0.94999999999999929</v>
      </c>
      <c r="CM248" s="38">
        <f t="shared" si="246"/>
        <v>1.9899999999999995</v>
      </c>
      <c r="CN248" s="17">
        <f t="shared" si="232"/>
        <v>2.7299999999999991</v>
      </c>
      <c r="CO248" s="17">
        <f t="shared" si="233"/>
        <v>3.7699999999999996</v>
      </c>
      <c r="CP248" s="17">
        <f t="shared" si="234"/>
        <v>4.5099999999999989</v>
      </c>
      <c r="CQ248" s="2" cm="1">
        <f t="array" aca="1" ref="CQ248" ca="1">MAX(_xlfn._xlws.FILTER(CJ248:CP248,CJ248:CP248&lt;BL248))</f>
        <v>0.94999999999999929</v>
      </c>
      <c r="CR248" s="2" cm="1">
        <f t="array" aca="1" ref="CR248" ca="1">MIN(_xlfn._xlws.FILTER($CJ248:$CP248,$CJ248:$CP248&gt;BL248))</f>
        <v>1.9899999999999995</v>
      </c>
      <c r="CS248" s="16">
        <f t="shared" ca="1" si="248"/>
        <v>1.0947368421052643</v>
      </c>
      <c r="CT248" s="20">
        <f t="shared" ca="1" si="249"/>
        <v>-0.54736842105263217</v>
      </c>
      <c r="CU248" s="20">
        <f t="shared" ca="1" si="250"/>
        <v>-0.3649122807017548</v>
      </c>
      <c r="CV248" s="20">
        <f t="shared" ca="1" si="251"/>
        <v>-0.21894736842105286</v>
      </c>
      <c r="CW248" s="20">
        <f t="shared" ca="1" si="252"/>
        <v>-0.12163742690058493</v>
      </c>
      <c r="CX248" s="20">
        <f t="shared" ca="1" si="253"/>
        <v>-6.4396284829721429E-2</v>
      </c>
      <c r="CY248" s="20">
        <f t="shared" ca="1" si="254"/>
        <v>-3.3173843700159522E-2</v>
      </c>
      <c r="CZ248" s="20">
        <f t="shared" ca="1" si="255"/>
        <v>-1.6842105263157912E-2</v>
      </c>
      <c r="DA248" s="21">
        <f t="shared" ca="1" si="256"/>
        <v>1.6842105263157912E-2</v>
      </c>
      <c r="DB248" s="21">
        <f t="shared" ca="1" si="257"/>
        <v>3.3173843700159522E-2</v>
      </c>
      <c r="DC248" s="21">
        <f t="shared" ca="1" si="258"/>
        <v>6.4396284829721429E-2</v>
      </c>
      <c r="DD248" s="21">
        <f t="shared" ca="1" si="259"/>
        <v>0.12163742690058493</v>
      </c>
      <c r="DE248" s="21">
        <f t="shared" ca="1" si="260"/>
        <v>0.21894736842105286</v>
      </c>
      <c r="DF248" s="21">
        <f t="shared" ca="1" si="261"/>
        <v>0.3649122807017548</v>
      </c>
      <c r="DG248" s="21">
        <f t="shared" ca="1" si="262"/>
        <v>0.54736842105263217</v>
      </c>
      <c r="DI248" s="16" cm="1">
        <f t="array" aca="1" ref="DI248" ca="1">MAX(_xlfn._xlws.FILTER(CT248:DG248,CT248:DG248&lt;BR248))</f>
        <v>-1.6842105263157912E-2</v>
      </c>
      <c r="DJ248" s="16" cm="1">
        <f t="array" aca="1" ref="DJ248" ca="1">MIN(_xlfn._xlws.FILTER(CT248:DG248,CT248:DG248&gt;BR248))</f>
        <v>1.6842105263157912E-2</v>
      </c>
      <c r="DK248" s="2" cm="1">
        <f t="array" aca="1" ref="DK248" ca="1">_FV(EC248,"Fechamento anterior",TRUE)</f>
        <v>1.65</v>
      </c>
      <c r="DL248" s="28">
        <f t="shared" ca="1" si="235"/>
        <v>0.5</v>
      </c>
      <c r="DM248" s="15">
        <f t="shared" ca="1" si="263"/>
        <v>1.6222105263157893</v>
      </c>
      <c r="DN248" s="15">
        <f t="shared" ca="1" si="264"/>
        <v>1.6777894736842105</v>
      </c>
      <c r="DO248" s="9"/>
      <c r="DP248" s="9"/>
      <c r="DQ248" s="9"/>
      <c r="DR248" s="89">
        <v>5.5603279968762208E-2</v>
      </c>
      <c r="DS248" s="89">
        <v>2.938475665748394E-2</v>
      </c>
      <c r="DT248" s="89">
        <v>3.1222441129561906E-2</v>
      </c>
      <c r="DU248" s="89">
        <v>3.3684210526315823E-2</v>
      </c>
      <c r="DV248" s="89">
        <f t="shared" ca="1" si="236"/>
        <v>3.3684210526315823E-2</v>
      </c>
      <c r="DW248" s="72">
        <f t="shared" ca="1" si="237"/>
        <v>-0.17932219104996888</v>
      </c>
      <c r="DX248" s="37"/>
      <c r="DY248" s="35">
        <f t="shared" si="247"/>
        <v>3.6247605284885943E-2</v>
      </c>
      <c r="DZ248" s="56"/>
      <c r="EA248" s="56"/>
      <c r="EC248" s="2" t="e" vm="250">
        <v>#VALUE!</v>
      </c>
      <c r="EE248" s="10" cm="1">
        <f t="array" aca="1" ref="EE248" ca="1">_FV(EC248,"Ações em circulação",TRUE)</f>
        <v>44895590</v>
      </c>
      <c r="EF248" s="18">
        <f>VLOOKUP(BM248,Fundamentus!A:U,5,FALSE)</f>
        <v>17.733000000000001</v>
      </c>
      <c r="EG248" s="2">
        <f t="shared" ca="1" si="238"/>
        <v>4177393.7574014547</v>
      </c>
      <c r="EH248" s="17">
        <v>-224691984.46560648</v>
      </c>
      <c r="EI248" s="17">
        <f t="shared" ca="1" si="239"/>
        <v>-224691984.46560648</v>
      </c>
      <c r="EK248" s="16">
        <f t="shared" ca="1" si="226"/>
        <v>0</v>
      </c>
      <c r="EL248" s="32" t="str">
        <f>IF(VLOOKUP(BM248,Fundamentus!A:U,3,FALSE)&lt;15,"Bom",IF(VLOOKUP(BM248,Fundamentus!A:U,3,FALSE)&gt;15,"Ruim","n/a"))</f>
        <v>Bom</v>
      </c>
      <c r="EM248" s="28" t="str">
        <f>IF(VLOOKUP(BM248,Fundamentus!A:U,4,FALSE)&lt;1,"Baixo",IF(VLOOKUP(BM248,Fundamentus!A:U,4,FALSE)&lt;1.5,"Moderado",IF(VLOOKUP(BM248,Fundamentus!A:U,4,FALSE)&gt;1.5,"Alto","n/a")))</f>
        <v>Baixo</v>
      </c>
      <c r="EN248" s="17" t="str">
        <f>IF(VLOOKUP(BM248,Fundamentus!A:U,8,FALSE)&lt;0,"Risco elevado",IF(VLOOKUP(BM248,Fundamentus!A:U,8,FALSE)&lt;1,"Saudável",IF(VLOOKUP(BM248,Fundamentus!A:U,8,FALSE)&lt;3,"Estável",IF(VLOOKUP(BM248,Fundamentus!A:U,8,FALSE)&gt;3,"Alerta","n/a"))))</f>
        <v>Risco elevado</v>
      </c>
      <c r="EO248" s="28" t="str">
        <f t="shared" si="240"/>
        <v>Bom</v>
      </c>
      <c r="EP248" s="17" t="str">
        <f>IF(VLOOKUP(BM248,Fundamentus!A:U,12,FALSE)&lt;2,"Subvalorizada",IF(VLOOKUP(BM248,Fundamentus!A:U,12,FALSE)&lt;6,"Muita barata",IF(VLOOKUP(BM248,Fundamentus!A:U,12,FALSE)&lt;6,"Barata",IF(VLOOKUP(BM248,Fundamentus!A:U,12,FALSE)&lt;8,"Atrativa",IF(VLOOKUP(BM248,Fundamentus!A:U,12,FALSE)&gt;8,"Supervalorizada","n/a")))))</f>
        <v>Subvalorizada</v>
      </c>
      <c r="ER248" s="17" t="str">
        <f>IF(VLOOKUP(BM248,Fundamentus!A:U,17,FALSE)&lt;0.1,"Fraco retorno",IF(VLOOKUP(BM248,Fundamentus!A:U,17,FALSE)&gt;0.1,"Bom retorno","n/a"))</f>
        <v>Bom retorno</v>
      </c>
      <c r="ES248" s="17" t="str">
        <f>IF(VLOOKUP(BM248,Fundamentus!A:U,16,FALSE)&lt;0.1,"Ineficiente",IF(VLOOKUP(BM248,Fundamentus!A:U,16,FALSE)&gt;0.1,"Eficiente","n/a"))</f>
        <v>Ineficiente</v>
      </c>
      <c r="ET248" s="33" t="str">
        <f>IF(VLOOKUP(BM248,Fundamentus!A:U,16,FALSE)&lt;0.1,"Oper. Ineficiente",IF(VLOOKUP(BM248,Fundamentus!A:U,16,FALSE)&gt;0.1,"Oper.Eficiente","n/a"))</f>
        <v>Oper. Ineficiente</v>
      </c>
      <c r="EU248" s="34">
        <f>VLOOKUP(BM248,Fundamentus!A:U,14,FALSE)</f>
        <v>-53.787599999999998</v>
      </c>
      <c r="EV248" s="17" t="str">
        <f>IF(VLOOKUP(BM248,Fundamentus!A:U,21,FALSE)&lt;0,"Negativo",IF(VLOOKUP(BM248,Fundamentus!A:U,21,FALSE)&lt;0.05,"Fraco",IF(VLOOKUP(BM248,Fundamentus!A:U,21,FALSE)&lt;0.1,"Bom",IF(VLOOKUP(BM248,Fundamentus!A:U,21,FALSE)&gt;0.1,"Muito bom","n/a"))))</f>
        <v>Negativo</v>
      </c>
      <c r="EX248" s="29" t="str">
        <f>IF(VLOOKUP(BM248,Fundamentus!A:U,15,FALSE)&gt;1,"Bom",IF(VLOOKUP(BM248,Fundamentus!A:U,15,FALSE)&lt;1,"Ruim","n/a"))</f>
        <v>Ruim</v>
      </c>
      <c r="EY248" s="17" t="str">
        <f>IF(VLOOKUP(BM248,Fundamentus!A:U,20,FALSE)&lt;0.5,"Baixa",IF(VLOOKUP(BM248,Fundamentus!A:U,20,FALSE)&lt;1,"Moderada",IF(VLOOKUP(BM248,Fundamentus!A:U,20,FALSE)&lt;2,"Alerta",IF(VLOOKUP(BM248,Fundamentus!A:U,20,FALSE)&gt;2,"Alta","n/a"))))</f>
        <v>Baixa</v>
      </c>
    </row>
    <row r="249" spans="1:155" s="2" customFormat="1" ht="11.25" x14ac:dyDescent="0.2">
      <c r="A249" s="4">
        <v>0.73</v>
      </c>
      <c r="B249" s="4">
        <v>0.71</v>
      </c>
      <c r="C249" s="4">
        <v>0.63</v>
      </c>
      <c r="D249" s="4">
        <v>0.59</v>
      </c>
      <c r="E249" s="4">
        <v>0.6</v>
      </c>
      <c r="F249" s="4">
        <v>0.57999999999999996</v>
      </c>
      <c r="G249" s="4">
        <v>0.5</v>
      </c>
      <c r="H249" s="4">
        <v>4.34</v>
      </c>
      <c r="I249" s="4">
        <v>5.34</v>
      </c>
      <c r="J249" s="4">
        <v>6.24</v>
      </c>
      <c r="K249" s="4">
        <v>5.91</v>
      </c>
      <c r="L249" s="4">
        <v>4.3899999999999997</v>
      </c>
      <c r="M249" s="4">
        <v>4.4000000000000004</v>
      </c>
      <c r="N249" s="4">
        <v>4.1900000000000004</v>
      </c>
      <c r="O249" s="4">
        <v>4.25</v>
      </c>
      <c r="P249" s="4">
        <v>4.4800000000000004</v>
      </c>
      <c r="Q249" s="4">
        <v>4.6500000000000004</v>
      </c>
      <c r="R249" s="4">
        <v>4.95</v>
      </c>
      <c r="S249" s="4">
        <v>5.09</v>
      </c>
      <c r="T249" s="4">
        <v>5.23</v>
      </c>
      <c r="U249" s="4">
        <v>5.2</v>
      </c>
      <c r="V249" s="4">
        <v>5.26</v>
      </c>
      <c r="W249" s="4">
        <v>4.83</v>
      </c>
      <c r="X249" s="4">
        <v>4.71</v>
      </c>
      <c r="Y249" s="4">
        <v>4.38</v>
      </c>
      <c r="Z249" s="4">
        <v>4.41</v>
      </c>
      <c r="AA249" s="4">
        <v>4.4800000000000004</v>
      </c>
      <c r="AB249" s="4">
        <v>4.0999999999999996</v>
      </c>
      <c r="AC249" s="4">
        <v>1</v>
      </c>
      <c r="AD249" s="4">
        <v>1.46</v>
      </c>
      <c r="AE249" s="4">
        <v>1.6</v>
      </c>
      <c r="AF249" s="4">
        <v>1.46</v>
      </c>
      <c r="AG249" s="4">
        <v>1.39</v>
      </c>
      <c r="AH249" s="4">
        <v>1.35</v>
      </c>
      <c r="AI249" s="4">
        <v>1.33</v>
      </c>
      <c r="AJ249" s="4">
        <v>1.34</v>
      </c>
      <c r="AK249" s="4">
        <v>1.47</v>
      </c>
      <c r="AL249" s="4">
        <v>1.43</v>
      </c>
      <c r="AM249" s="4">
        <v>1.55</v>
      </c>
      <c r="AN249" s="4">
        <v>1.65</v>
      </c>
      <c r="AO249" s="4">
        <v>1.45</v>
      </c>
      <c r="AP249" s="4">
        <v>1.28</v>
      </c>
      <c r="AQ249" s="4">
        <v>1.22</v>
      </c>
      <c r="AR249" s="4">
        <v>1.1299999999999999</v>
      </c>
      <c r="AS249" s="4">
        <v>1.1599999999999999</v>
      </c>
      <c r="AT249" s="4">
        <v>1.19</v>
      </c>
      <c r="AU249" s="4">
        <v>1.2749999999999999</v>
      </c>
      <c r="AV249" s="4">
        <v>1.06</v>
      </c>
      <c r="AW249" s="4">
        <v>0.91</v>
      </c>
      <c r="AX249" s="4">
        <v>0.48</v>
      </c>
      <c r="AY249" s="12">
        <v>0.61</v>
      </c>
      <c r="AZ249" s="12">
        <v>0.6</v>
      </c>
      <c r="BA249" s="12">
        <v>0.56999999999999995</v>
      </c>
      <c r="BB249" s="15">
        <v>0.65</v>
      </c>
      <c r="BC249" s="52">
        <v>0.66</v>
      </c>
      <c r="BD249" s="52">
        <v>0.63</v>
      </c>
      <c r="BE249" s="52">
        <v>0.63</v>
      </c>
      <c r="BF249" s="52">
        <v>0.67</v>
      </c>
      <c r="BG249" s="67">
        <v>0.71</v>
      </c>
      <c r="BH249" s="52">
        <v>0.63</v>
      </c>
      <c r="BI249" s="52">
        <v>0.64</v>
      </c>
      <c r="BJ249" s="52">
        <v>0.63</v>
      </c>
      <c r="BK249" s="52">
        <v>0.56999999999999995</v>
      </c>
      <c r="BL249" s="52" cm="1">
        <f t="array" aca="1" ref="BL249" ca="1">_FV(EC249,"Preço")</f>
        <v>0.56999999999999995</v>
      </c>
      <c r="BM249" s="69" t="s">
        <v>245</v>
      </c>
      <c r="BN249" s="36" cm="1">
        <f t="array" aca="1" ref="BN249" ca="1">_FV(EC249,"Média de volume",TRUE)</f>
        <v>23600</v>
      </c>
      <c r="BO249" s="36">
        <v>2661100</v>
      </c>
      <c r="BP249" s="36" cm="1">
        <f t="array" aca="1" ref="BP249" ca="1">_FV(EC249,"Volume")</f>
        <v>2661100</v>
      </c>
      <c r="BQ249" s="24" cm="1">
        <f t="array" aca="1" ref="BQ249" ca="1">_FV(EC249,"Beta")</f>
        <v>1.3754999999999999</v>
      </c>
      <c r="BR249" s="71" cm="1">
        <f t="array" aca="1" ref="BR249" ca="1">_FV(EC249,"Variação (%)",TRUE)</f>
        <v>-0.05</v>
      </c>
      <c r="BT249" s="17" cm="1">
        <f t="array" aca="1" ref="BT249" ca="1">_FV(EC249,"Baixo")</f>
        <v>0.56999999999999995</v>
      </c>
      <c r="BU249" s="17" cm="1">
        <f t="array" aca="1" ref="BU249" ca="1">_FV(EC249,"Alto")</f>
        <v>0.61</v>
      </c>
      <c r="BV249" s="24"/>
      <c r="BW249" s="63" t="e">
        <f ca="1">SQRT(22.5*(BL249/VLOOKUP(BM249,Fundamentus!A:U,3,FALSE))*(BL249/VLOOKUP(BM249,Fundamentus!A:U,4,FALSE)))</f>
        <v>#NUM!</v>
      </c>
      <c r="BY249" s="62">
        <f t="shared" ca="1" si="241"/>
        <v>0</v>
      </c>
      <c r="BZ249" s="8"/>
      <c r="CA249" s="61">
        <f t="shared" si="242"/>
        <v>0.48</v>
      </c>
      <c r="CB249" s="61">
        <f t="shared" si="243"/>
        <v>6.24</v>
      </c>
      <c r="CC249" s="61">
        <f t="shared" si="244"/>
        <v>2.2469047619047608</v>
      </c>
      <c r="CD249" s="14"/>
      <c r="CE249" s="35">
        <f t="shared" si="227"/>
        <v>0.52282045107213315</v>
      </c>
      <c r="CF249" s="15">
        <f t="shared" si="245"/>
        <v>0.60800000000000409</v>
      </c>
      <c r="CG249" s="35">
        <f t="shared" si="228"/>
        <v>0.69317954892787503</v>
      </c>
      <c r="CI249" s="14"/>
      <c r="CJ249" s="17">
        <f t="shared" si="229"/>
        <v>-7.1</v>
      </c>
      <c r="CK249" s="17">
        <f t="shared" si="230"/>
        <v>-3.3099999999999996</v>
      </c>
      <c r="CL249" s="17">
        <f t="shared" si="231"/>
        <v>-1.3399999999999999</v>
      </c>
      <c r="CM249" s="38">
        <f t="shared" si="246"/>
        <v>2.4500000000000002</v>
      </c>
      <c r="CN249" s="17">
        <f t="shared" si="232"/>
        <v>4.42</v>
      </c>
      <c r="CO249" s="17">
        <f t="shared" si="233"/>
        <v>8.2100000000000009</v>
      </c>
      <c r="CP249" s="17">
        <f t="shared" si="234"/>
        <v>10.18</v>
      </c>
      <c r="CQ249" s="2" cm="1">
        <f t="array" aca="1" ref="CQ249" ca="1">MAX(_xlfn._xlws.FILTER(CJ249:CP249,CJ249:CP249&lt;BL249))</f>
        <v>-1.3399999999999999</v>
      </c>
      <c r="CR249" s="2" cm="1">
        <f t="array" aca="1" ref="CR249" ca="1">MIN(_xlfn._xlws.FILTER($CJ249:$CP249,$CJ249:$CP249&gt;BL249))</f>
        <v>2.4500000000000002</v>
      </c>
      <c r="CS249" s="16">
        <f t="shared" ca="1" si="248"/>
        <v>-2.8283582089552244</v>
      </c>
      <c r="CT249" s="20">
        <f t="shared" ca="1" si="249"/>
        <v>1.4141791044776122</v>
      </c>
      <c r="CU249" s="20">
        <f t="shared" ca="1" si="250"/>
        <v>0.9427860696517415</v>
      </c>
      <c r="CV249" s="20">
        <f t="shared" ca="1" si="251"/>
        <v>0.5656716417910449</v>
      </c>
      <c r="CW249" s="20">
        <f t="shared" ca="1" si="252"/>
        <v>0.31426202321724717</v>
      </c>
      <c r="CX249" s="20">
        <f t="shared" ca="1" si="253"/>
        <v>0.1663740122914838</v>
      </c>
      <c r="CY249" s="20">
        <f t="shared" ca="1" si="254"/>
        <v>8.5707824513794675E-2</v>
      </c>
      <c r="CZ249" s="20">
        <f t="shared" ca="1" si="255"/>
        <v>4.3513203214695761E-2</v>
      </c>
      <c r="DA249" s="21">
        <f t="shared" ca="1" si="256"/>
        <v>-4.3513203214695761E-2</v>
      </c>
      <c r="DB249" s="21">
        <f t="shared" ca="1" si="257"/>
        <v>-8.5707824513794675E-2</v>
      </c>
      <c r="DC249" s="21">
        <f t="shared" ca="1" si="258"/>
        <v>-0.1663740122914838</v>
      </c>
      <c r="DD249" s="21">
        <f t="shared" ca="1" si="259"/>
        <v>-0.31426202321724717</v>
      </c>
      <c r="DE249" s="21">
        <f t="shared" ca="1" si="260"/>
        <v>-0.5656716417910449</v>
      </c>
      <c r="DF249" s="21">
        <f t="shared" ca="1" si="261"/>
        <v>-0.9427860696517415</v>
      </c>
      <c r="DG249" s="21">
        <f t="shared" ca="1" si="262"/>
        <v>-1.4141791044776122</v>
      </c>
      <c r="DI249" s="16" cm="1">
        <f t="array" aca="1" ref="DI249" ca="1">MAX(_xlfn._xlws.FILTER(CT249:DG249,CT249:DG249&lt;BR249))</f>
        <v>-8.5707824513794675E-2</v>
      </c>
      <c r="DJ249" s="16" cm="1">
        <f t="array" aca="1" ref="DJ249" ca="1">MIN(_xlfn._xlws.FILTER(CT249:DG249,CT249:DG249&gt;BR249))</f>
        <v>-4.3513203214695761E-2</v>
      </c>
      <c r="DK249" s="2" cm="1">
        <f t="array" aca="1" ref="DK249" ca="1">_FV(EC249,"Fechamento anterior",TRUE)</f>
        <v>0.6</v>
      </c>
      <c r="DL249" s="28">
        <f t="shared" ca="1" si="235"/>
        <v>0.84626484168865512</v>
      </c>
      <c r="DM249" s="15">
        <f t="shared" ca="1" si="263"/>
        <v>0.54857530529172316</v>
      </c>
      <c r="DN249" s="15">
        <f t="shared" ca="1" si="264"/>
        <v>0.57389207807118248</v>
      </c>
      <c r="DO249" s="9"/>
      <c r="DP249" s="9"/>
      <c r="DQ249" s="9"/>
      <c r="DR249" s="89">
        <v>9.0777285541683489E-2</v>
      </c>
      <c r="DS249" s="89">
        <v>8.999601434834599E-2</v>
      </c>
      <c r="DT249" s="89">
        <v>8.7026406429391523E-2</v>
      </c>
      <c r="DU249" s="89">
        <v>4.2194621299098914E-2</v>
      </c>
      <c r="DV249" s="89">
        <f t="shared" ca="1" si="236"/>
        <v>4.2194621299098914E-2</v>
      </c>
      <c r="DW249" s="72">
        <f t="shared" ca="1" si="237"/>
        <v>-0.44611647371110291</v>
      </c>
      <c r="DX249" s="37"/>
      <c r="DY249" s="35">
        <f t="shared" si="247"/>
        <v>4.2589774463935463E-2</v>
      </c>
      <c r="DZ249" s="56"/>
      <c r="EA249" s="56"/>
      <c r="EC249" s="2" t="e" vm="251">
        <v>#VALUE!</v>
      </c>
      <c r="EE249" s="10" cm="1">
        <f t="array" aca="1" ref="EE249" ca="1">_FV(EC249,"Ações em circulação",TRUE)</f>
        <v>330121700</v>
      </c>
      <c r="EF249" s="18">
        <f>VLOOKUP(BM249,Fundamentus!A:U,5,FALSE)</f>
        <v>0.14099999999999999</v>
      </c>
      <c r="EG249" s="2">
        <f t="shared" ca="1" si="238"/>
        <v>1334534531.9148936</v>
      </c>
      <c r="EH249" s="17">
        <v>11309245983.806383</v>
      </c>
      <c r="EI249" s="17">
        <f t="shared" ca="1" si="239"/>
        <v>11309245983.806383</v>
      </c>
      <c r="EK249" s="16">
        <f t="shared" ca="1" si="226"/>
        <v>0</v>
      </c>
      <c r="EL249" s="32" t="str">
        <f>IF(VLOOKUP(BM249,Fundamentus!A:U,3,FALSE)&lt;15,"Bom",IF(VLOOKUP(BM249,Fundamentus!A:U,3,FALSE)&gt;15,"Ruim","n/a"))</f>
        <v>Bom</v>
      </c>
      <c r="EM249" s="28" t="str">
        <f>IF(VLOOKUP(BM249,Fundamentus!A:U,4,FALSE)&lt;1,"Baixo",IF(VLOOKUP(BM249,Fundamentus!A:U,4,FALSE)&lt;1.5,"Moderado",IF(VLOOKUP(BM249,Fundamentus!A:U,4,FALSE)&gt;1.5,"Alto","n/a")))</f>
        <v>Baixo</v>
      </c>
      <c r="EN249" s="17" t="str">
        <f>IF(VLOOKUP(BM249,Fundamentus!A:U,8,FALSE)&lt;0,"Risco elevado",IF(VLOOKUP(BM249,Fundamentus!A:U,8,FALSE)&lt;1,"Saudável",IF(VLOOKUP(BM249,Fundamentus!A:U,8,FALSE)&lt;3,"Estável",IF(VLOOKUP(BM249,Fundamentus!A:U,8,FALSE)&gt;3,"Alerta","n/a"))))</f>
        <v>Risco elevado</v>
      </c>
      <c r="EO249" s="28" t="str">
        <f t="shared" si="240"/>
        <v>Ruim</v>
      </c>
      <c r="EP249" s="17" t="str">
        <f>IF(VLOOKUP(BM249,Fundamentus!A:U,12,FALSE)&lt;2,"Subvalorizada",IF(VLOOKUP(BM249,Fundamentus!A:U,12,FALSE)&lt;6,"Muita barata",IF(VLOOKUP(BM249,Fundamentus!A:U,12,FALSE)&lt;6,"Barata",IF(VLOOKUP(BM249,Fundamentus!A:U,12,FALSE)&lt;8,"Atrativa",IF(VLOOKUP(BM249,Fundamentus!A:U,12,FALSE)&gt;8,"Supervalorizada","n/a")))))</f>
        <v>Subvalorizada</v>
      </c>
      <c r="ER249" s="17" t="str">
        <f>IF(VLOOKUP(BM249,Fundamentus!A:U,17,FALSE)&lt;0.1,"Fraco retorno",IF(VLOOKUP(BM249,Fundamentus!A:U,17,FALSE)&gt;0.1,"Bom retorno","n/a"))</f>
        <v>Fraco retorno</v>
      </c>
      <c r="ES249" s="17" t="str">
        <f>IF(VLOOKUP(BM249,Fundamentus!A:U,16,FALSE)&lt;0.1,"Ineficiente",IF(VLOOKUP(BM249,Fundamentus!A:U,16,FALSE)&gt;0.1,"Eficiente","n/a"))</f>
        <v>Ineficiente</v>
      </c>
      <c r="ET249" s="33" t="str">
        <f>IF(VLOOKUP(BM249,Fundamentus!A:U,16,FALSE)&lt;0.1,"Oper. Ineficiente",IF(VLOOKUP(BM249,Fundamentus!A:U,16,FALSE)&gt;0.1,"Oper.Eficiente","n/a"))</f>
        <v>Oper. Ineficiente</v>
      </c>
      <c r="EU249" s="34">
        <f>VLOOKUP(BM249,Fundamentus!A:U,14,FALSE)</f>
        <v>8.4742999999999995</v>
      </c>
      <c r="EV249" s="17" t="str">
        <f>IF(VLOOKUP(BM249,Fundamentus!A:U,21,FALSE)&lt;0,"Negativo",IF(VLOOKUP(BM249,Fundamentus!A:U,21,FALSE)&lt;0.05,"Fraco",IF(VLOOKUP(BM249,Fundamentus!A:U,21,FALSE)&lt;0.1,"Bom",IF(VLOOKUP(BM249,Fundamentus!A:U,21,FALSE)&gt;0.1,"Muito bom","n/a"))))</f>
        <v>Negativo</v>
      </c>
      <c r="EX249" s="29" t="str">
        <f>IF(VLOOKUP(BM249,Fundamentus!A:U,15,FALSE)&gt;1,"Bom",IF(VLOOKUP(BM249,Fundamentus!A:U,15,FALSE)&lt;1,"Ruim","n/a"))</f>
        <v>Ruim</v>
      </c>
      <c r="EY249" s="17" t="str">
        <f>IF(VLOOKUP(BM249,Fundamentus!A:U,20,FALSE)&lt;0.5,"Baixa",IF(VLOOKUP(BM249,Fundamentus!A:U,20,FALSE)&lt;1,"Moderada",IF(VLOOKUP(BM249,Fundamentus!A:U,20,FALSE)&lt;2,"Alerta",IF(VLOOKUP(BM249,Fundamentus!A:U,20,FALSE)&gt;2,"Alta","n/a"))))</f>
        <v>Baixa</v>
      </c>
    </row>
    <row r="250" spans="1:155" s="2" customFormat="1" ht="11.25" x14ac:dyDescent="0.2">
      <c r="A250" s="4">
        <v>14.74</v>
      </c>
      <c r="B250" s="4">
        <v>14.54</v>
      </c>
      <c r="C250" s="4">
        <v>14.33</v>
      </c>
      <c r="D250" s="4">
        <v>13.98</v>
      </c>
      <c r="E250" s="4">
        <v>13.63</v>
      </c>
      <c r="F250" s="4">
        <v>12.72</v>
      </c>
      <c r="G250" s="4">
        <v>12.67</v>
      </c>
      <c r="H250" s="4">
        <v>12.89</v>
      </c>
      <c r="I250" s="4">
        <v>13.52</v>
      </c>
      <c r="J250" s="4">
        <v>14.1</v>
      </c>
      <c r="K250" s="4">
        <v>14.28</v>
      </c>
      <c r="L250" s="4">
        <v>14.03</v>
      </c>
      <c r="M250" s="4">
        <v>13.7</v>
      </c>
      <c r="N250" s="4">
        <v>13</v>
      </c>
      <c r="O250" s="4">
        <v>13.61</v>
      </c>
      <c r="P250" s="4">
        <v>13.42</v>
      </c>
      <c r="Q250" s="4">
        <v>13.97</v>
      </c>
      <c r="R250" s="4">
        <v>13.36</v>
      </c>
      <c r="S250" s="4">
        <v>12.89</v>
      </c>
      <c r="T250" s="4">
        <v>13.04</v>
      </c>
      <c r="U250" s="4">
        <v>12.56</v>
      </c>
      <c r="V250" s="4">
        <v>13.15</v>
      </c>
      <c r="W250" s="4">
        <v>13.25</v>
      </c>
      <c r="X250" s="4">
        <v>12.1</v>
      </c>
      <c r="Y250" s="4">
        <v>11.52</v>
      </c>
      <c r="Z250" s="4">
        <v>11.75</v>
      </c>
      <c r="AA250" s="4">
        <v>11.5</v>
      </c>
      <c r="AB250" s="4">
        <v>11.73</v>
      </c>
      <c r="AC250" s="4">
        <v>11.3</v>
      </c>
      <c r="AD250" s="4">
        <v>11.13</v>
      </c>
      <c r="AE250" s="4">
        <v>10.199999999999999</v>
      </c>
      <c r="AF250" s="4">
        <v>9.4</v>
      </c>
      <c r="AG250" s="4">
        <v>8.91</v>
      </c>
      <c r="AH250" s="4">
        <v>8.5399999999999991</v>
      </c>
      <c r="AI250" s="4">
        <v>8.16</v>
      </c>
      <c r="AJ250" s="4">
        <v>8.0500000000000007</v>
      </c>
      <c r="AK250" s="4">
        <v>8.11</v>
      </c>
      <c r="AL250" s="4">
        <v>8.1999999999999993</v>
      </c>
      <c r="AM250" s="4">
        <v>7.56</v>
      </c>
      <c r="AN250" s="4">
        <v>7.74</v>
      </c>
      <c r="AO250" s="4">
        <v>7.18</v>
      </c>
      <c r="AP250" s="4">
        <v>7.58</v>
      </c>
      <c r="AQ250" s="4">
        <v>7.29</v>
      </c>
      <c r="AR250" s="4">
        <v>7.09</v>
      </c>
      <c r="AS250" s="4">
        <v>7.27</v>
      </c>
      <c r="AT250" s="4">
        <v>7.47</v>
      </c>
      <c r="AU250" s="4">
        <v>7.77</v>
      </c>
      <c r="AV250" s="4">
        <v>7.63</v>
      </c>
      <c r="AW250" s="4">
        <v>7.24</v>
      </c>
      <c r="AX250" s="4">
        <v>7.04</v>
      </c>
      <c r="AY250" s="12">
        <v>7.17</v>
      </c>
      <c r="AZ250" s="12">
        <v>7.71</v>
      </c>
      <c r="BA250" s="12">
        <v>7.77</v>
      </c>
      <c r="BB250" s="15">
        <v>7.99</v>
      </c>
      <c r="BC250" s="52">
        <v>7.72</v>
      </c>
      <c r="BD250" s="52">
        <v>8.02</v>
      </c>
      <c r="BE250" s="52">
        <v>8.23</v>
      </c>
      <c r="BF250" s="52">
        <v>8.06</v>
      </c>
      <c r="BG250" s="67">
        <v>8.1199999999999992</v>
      </c>
      <c r="BH250" s="52">
        <v>7.28</v>
      </c>
      <c r="BI250" s="52">
        <v>6.74</v>
      </c>
      <c r="BJ250" s="52">
        <v>7.14</v>
      </c>
      <c r="BK250" s="52">
        <v>6.38</v>
      </c>
      <c r="BL250" s="52" cm="1">
        <f t="array" aca="1" ref="BL250" ca="1">_FV(EC250,"Preço")</f>
        <v>6.38</v>
      </c>
      <c r="BM250" s="69" t="s">
        <v>246</v>
      </c>
      <c r="BN250" s="36" cm="1">
        <f t="array" aca="1" ref="BN250" ca="1">_FV(EC250,"Média de volume",TRUE)</f>
        <v>14835100</v>
      </c>
      <c r="BO250" s="36">
        <v>13309200</v>
      </c>
      <c r="BP250" s="36" cm="1">
        <f t="array" aca="1" ref="BP250" ca="1">_FV(EC250,"Volume")</f>
        <v>13309200</v>
      </c>
      <c r="BQ250" s="24" cm="1">
        <f t="array" aca="1" ref="BQ250" ca="1">_FV(EC250,"Beta")</f>
        <v>1.1491</v>
      </c>
      <c r="BR250" s="71" cm="1">
        <f t="array" aca="1" ref="BR250" ca="1">_FV(EC250,"Variação (%)",TRUE)</f>
        <v>-4.6800000000000001E-3</v>
      </c>
      <c r="BT250" s="17" cm="1">
        <f t="array" aca="1" ref="BT250" ca="1">_FV(EC250,"Baixo")</f>
        <v>6.27</v>
      </c>
      <c r="BU250" s="17" cm="1">
        <f t="array" aca="1" ref="BU250" ca="1">_FV(EC250,"Alto")</f>
        <v>6.45</v>
      </c>
      <c r="BV250" s="24"/>
      <c r="BW250" s="63" t="e">
        <f ca="1">SQRT(22.5*(BL250/VLOOKUP(BM250,Fundamentus!A:U,3,FALSE))*(BL250/VLOOKUP(BM250,Fundamentus!A:U,4,FALSE)))</f>
        <v>#NUM!</v>
      </c>
      <c r="BY250" s="62">
        <f t="shared" ca="1" si="241"/>
        <v>0</v>
      </c>
      <c r="BZ250" s="8"/>
      <c r="CA250" s="61">
        <f t="shared" si="242"/>
        <v>6.38</v>
      </c>
      <c r="CB250" s="61">
        <f t="shared" si="243"/>
        <v>14.74</v>
      </c>
      <c r="CC250" s="61">
        <f t="shared" si="244"/>
        <v>10.304285714285713</v>
      </c>
      <c r="CD250" s="14"/>
      <c r="CE250" s="35">
        <f t="shared" si="227"/>
        <v>5.4959164513702667</v>
      </c>
      <c r="CF250" s="15">
        <f t="shared" si="245"/>
        <v>6.7699999999999818</v>
      </c>
      <c r="CG250" s="35">
        <f t="shared" si="228"/>
        <v>8.0440835486296969</v>
      </c>
      <c r="CI250" s="14"/>
      <c r="CJ250" s="17">
        <f t="shared" si="229"/>
        <v>-4.2600000000000007</v>
      </c>
      <c r="CK250" s="17">
        <f t="shared" si="230"/>
        <v>1.0600000000000005</v>
      </c>
      <c r="CL250" s="17">
        <f t="shared" si="231"/>
        <v>4.0999999999999996</v>
      </c>
      <c r="CM250" s="38">
        <f t="shared" si="246"/>
        <v>9.42</v>
      </c>
      <c r="CN250" s="17">
        <f t="shared" si="232"/>
        <v>12.46</v>
      </c>
      <c r="CO250" s="17">
        <f t="shared" si="233"/>
        <v>17.78</v>
      </c>
      <c r="CP250" s="17">
        <f t="shared" si="234"/>
        <v>20.82</v>
      </c>
      <c r="CQ250" s="2" cm="1">
        <f t="array" aca="1" ref="CQ250" ca="1">MAX(_xlfn._xlws.FILTER(CJ250:CP250,CJ250:CP250&lt;BL250))</f>
        <v>4.0999999999999996</v>
      </c>
      <c r="CR250" s="2" cm="1">
        <f t="array" aca="1" ref="CR250" ca="1">MIN(_xlfn._xlws.FILTER($CJ250:$CP250,$CJ250:$CP250&gt;BL250))</f>
        <v>9.42</v>
      </c>
      <c r="CS250" s="16">
        <f t="shared" ca="1" si="248"/>
        <v>1.2975609756097564</v>
      </c>
      <c r="CT250" s="20">
        <f t="shared" ca="1" si="249"/>
        <v>-0.64878048780487818</v>
      </c>
      <c r="CU250" s="20">
        <f t="shared" ca="1" si="250"/>
        <v>-0.43252032520325212</v>
      </c>
      <c r="CV250" s="20">
        <f t="shared" ca="1" si="251"/>
        <v>-0.25951219512195128</v>
      </c>
      <c r="CW250" s="20">
        <f t="shared" ca="1" si="252"/>
        <v>-0.14417344173441737</v>
      </c>
      <c r="CX250" s="20">
        <f t="shared" ca="1" si="253"/>
        <v>-7.6327116212338605E-2</v>
      </c>
      <c r="CY250" s="20">
        <f t="shared" ca="1" si="254"/>
        <v>-3.9320029563932012E-2</v>
      </c>
      <c r="CZ250" s="20">
        <f t="shared" ca="1" si="255"/>
        <v>-1.9962476547842407E-2</v>
      </c>
      <c r="DA250" s="21">
        <f t="shared" ca="1" si="256"/>
        <v>1.9962476547842407E-2</v>
      </c>
      <c r="DB250" s="21">
        <f t="shared" ca="1" si="257"/>
        <v>3.9320029563932012E-2</v>
      </c>
      <c r="DC250" s="21">
        <f t="shared" ca="1" si="258"/>
        <v>7.6327116212338605E-2</v>
      </c>
      <c r="DD250" s="21">
        <f t="shared" ca="1" si="259"/>
        <v>0.14417344173441737</v>
      </c>
      <c r="DE250" s="21">
        <f t="shared" ca="1" si="260"/>
        <v>0.25951219512195128</v>
      </c>
      <c r="DF250" s="21">
        <f t="shared" ca="1" si="261"/>
        <v>0.43252032520325212</v>
      </c>
      <c r="DG250" s="21">
        <f t="shared" ca="1" si="262"/>
        <v>0.64878048780487818</v>
      </c>
      <c r="DI250" s="16" cm="1">
        <f t="array" aca="1" ref="DI250" ca="1">MAX(_xlfn._xlws.FILTER(CT250:DG250,CT250:DG250&lt;BR250))</f>
        <v>-1.9962476547842407E-2</v>
      </c>
      <c r="DJ250" s="16" cm="1">
        <f t="array" aca="1" ref="DJ250" ca="1">MIN(_xlfn._xlws.FILTER(CT250:DG250,CT250:DG250&gt;BR250))</f>
        <v>1.9962476547842407E-2</v>
      </c>
      <c r="DK250" s="2" cm="1">
        <f t="array" aca="1" ref="DK250" ca="1">_FV(EC250,"Fechamento anterior",TRUE)</f>
        <v>6.41</v>
      </c>
      <c r="DL250" s="28">
        <f t="shared" ca="1" si="235"/>
        <v>0.382775386203417</v>
      </c>
      <c r="DM250" s="15">
        <f t="shared" ca="1" si="263"/>
        <v>6.2820405253283305</v>
      </c>
      <c r="DN250" s="15">
        <f t="shared" ca="1" si="264"/>
        <v>6.5379594746716698</v>
      </c>
      <c r="DO250" s="9"/>
      <c r="DP250" s="9"/>
      <c r="DQ250" s="9"/>
      <c r="DR250" s="89">
        <v>3.5308953341740223E-2</v>
      </c>
      <c r="DS250" s="89">
        <v>1.3711919231816536E-2</v>
      </c>
      <c r="DT250" s="89">
        <v>3.6866359447004587E-2</v>
      </c>
      <c r="DU250" s="89">
        <v>3.6866359447004587E-2</v>
      </c>
      <c r="DV250" s="89">
        <f t="shared" ca="1" si="236"/>
        <v>3.9924953095684813E-2</v>
      </c>
      <c r="DW250" s="72">
        <f t="shared" ca="1" si="237"/>
        <v>-0.30610237485558101</v>
      </c>
      <c r="DX250" s="37"/>
      <c r="DY250" s="35">
        <f t="shared" si="247"/>
        <v>0.63704177431485776</v>
      </c>
      <c r="DZ250" s="56"/>
      <c r="EA250" s="56"/>
      <c r="EC250" s="2" t="e" vm="252">
        <v>#VALUE!</v>
      </c>
      <c r="EE250" s="10" cm="1">
        <f t="array" aca="1" ref="EE250" ca="1">_FV(EC250,"Ações em circulação",TRUE)</f>
        <v>1866571000</v>
      </c>
      <c r="EF250" s="18">
        <f>VLOOKUP(BM250,Fundamentus!A:U,5,FALSE)</f>
        <v>0.34599999999999997</v>
      </c>
      <c r="EG250" s="2">
        <f t="shared" ca="1" si="238"/>
        <v>34418274508.670525</v>
      </c>
      <c r="EH250" s="17">
        <v>-8146805576.2023134</v>
      </c>
      <c r="EI250" s="17">
        <f t="shared" ca="1" si="239"/>
        <v>-8146805576.2023134</v>
      </c>
      <c r="EK250" s="16">
        <f t="shared" ca="1" si="226"/>
        <v>0</v>
      </c>
      <c r="EL250" s="32" t="str">
        <f>IF(VLOOKUP(BM250,Fundamentus!A:U,3,FALSE)&lt;15,"Bom",IF(VLOOKUP(BM250,Fundamentus!A:U,3,FALSE)&gt;15,"Ruim","n/a"))</f>
        <v>Bom</v>
      </c>
      <c r="EM250" s="28" t="str">
        <f>IF(VLOOKUP(BM250,Fundamentus!A:U,4,FALSE)&lt;1,"Baixo",IF(VLOOKUP(BM250,Fundamentus!A:U,4,FALSE)&lt;1.5,"Moderado",IF(VLOOKUP(BM250,Fundamentus!A:U,4,FALSE)&gt;1.5,"Alto","n/a")))</f>
        <v>Alto</v>
      </c>
      <c r="EN250" s="17" t="str">
        <f>IF(VLOOKUP(BM250,Fundamentus!A:U,8,FALSE)&lt;0,"Risco elevado",IF(VLOOKUP(BM250,Fundamentus!A:U,8,FALSE)&lt;1,"Saudável",IF(VLOOKUP(BM250,Fundamentus!A:U,8,FALSE)&lt;3,"Estável",IF(VLOOKUP(BM250,Fundamentus!A:U,8,FALSE)&gt;3,"Alerta","n/a"))))</f>
        <v>Estável</v>
      </c>
      <c r="EO250" s="28" t="str">
        <f t="shared" si="240"/>
        <v>Ruim</v>
      </c>
      <c r="EP250" s="17" t="str">
        <f>IF(VLOOKUP(BM250,Fundamentus!A:U,12,FALSE)&lt;2,"Subvalorizada",IF(VLOOKUP(BM250,Fundamentus!A:U,12,FALSE)&lt;6,"Muita barata",IF(VLOOKUP(BM250,Fundamentus!A:U,12,FALSE)&lt;6,"Barata",IF(VLOOKUP(BM250,Fundamentus!A:U,12,FALSE)&lt;8,"Atrativa",IF(VLOOKUP(BM250,Fundamentus!A:U,12,FALSE)&gt;8,"Supervalorizada","n/a")))))</f>
        <v>Muita barata</v>
      </c>
      <c r="ER250" s="17" t="str">
        <f>IF(VLOOKUP(BM250,Fundamentus!A:U,17,FALSE)&lt;0.1,"Fraco retorno",IF(VLOOKUP(BM250,Fundamentus!A:U,17,FALSE)&gt;0.1,"Bom retorno","n/a"))</f>
        <v>Fraco retorno</v>
      </c>
      <c r="ES250" s="17" t="str">
        <f>IF(VLOOKUP(BM250,Fundamentus!A:U,16,FALSE)&lt;0.1,"Ineficiente",IF(VLOOKUP(BM250,Fundamentus!A:U,16,FALSE)&gt;0.1,"Eficiente","n/a"))</f>
        <v>Ineficiente</v>
      </c>
      <c r="ET250" s="33" t="str">
        <f>IF(VLOOKUP(BM250,Fundamentus!A:U,16,FALSE)&lt;0.1,"Oper. Ineficiente",IF(VLOOKUP(BM250,Fundamentus!A:U,16,FALSE)&gt;0.1,"Oper.Eficiente","n/a"))</f>
        <v>Oper. Ineficiente</v>
      </c>
      <c r="EU250" s="34">
        <f>VLOOKUP(BM250,Fundamentus!A:U,14,FALSE)</f>
        <v>-0.23669999999999999</v>
      </c>
      <c r="EV250" s="17" t="str">
        <f>IF(VLOOKUP(BM250,Fundamentus!A:U,21,FALSE)&lt;0,"Negativo",IF(VLOOKUP(BM250,Fundamentus!A:U,21,FALSE)&lt;0.05,"Fraco",IF(VLOOKUP(BM250,Fundamentus!A:U,21,FALSE)&lt;0.1,"Bom",IF(VLOOKUP(BM250,Fundamentus!A:U,21,FALSE)&gt;0.1,"Muito bom","n/a"))))</f>
        <v>Muito bom</v>
      </c>
      <c r="EX250" s="29" t="str">
        <f>IF(VLOOKUP(BM250,Fundamentus!A:U,15,FALSE)&gt;1,"Bom",IF(VLOOKUP(BM250,Fundamentus!A:U,15,FALSE)&lt;1,"Ruim","n/a"))</f>
        <v>Bom</v>
      </c>
      <c r="EY250" s="17" t="str">
        <f>IF(VLOOKUP(BM250,Fundamentus!A:U,20,FALSE)&lt;0.5,"Baixa",IF(VLOOKUP(BM250,Fundamentus!A:U,20,FALSE)&lt;1,"Moderada",IF(VLOOKUP(BM250,Fundamentus!A:U,20,FALSE)&lt;2,"Alerta",IF(VLOOKUP(BM250,Fundamentus!A:U,20,FALSE)&gt;2,"Alta","n/a"))))</f>
        <v>Alta</v>
      </c>
    </row>
    <row r="251" spans="1:155" s="2" customFormat="1" ht="11.25" x14ac:dyDescent="0.2">
      <c r="A251" s="4">
        <v>22.31</v>
      </c>
      <c r="B251" s="4">
        <v>19.52</v>
      </c>
      <c r="C251" s="4">
        <v>19.8</v>
      </c>
      <c r="D251" s="4">
        <v>19.2</v>
      </c>
      <c r="E251" s="4">
        <v>19</v>
      </c>
      <c r="F251" s="4">
        <v>17.86</v>
      </c>
      <c r="G251" s="4">
        <v>18.739999999999998</v>
      </c>
      <c r="H251" s="4">
        <v>18.329999999999998</v>
      </c>
      <c r="I251" s="4">
        <v>18.12</v>
      </c>
      <c r="J251" s="4">
        <v>18.45</v>
      </c>
      <c r="K251" s="4">
        <v>19.440000000000001</v>
      </c>
      <c r="L251" s="4">
        <v>18.260000000000002</v>
      </c>
      <c r="M251" s="4">
        <v>18.13</v>
      </c>
      <c r="N251" s="4">
        <v>16.97</v>
      </c>
      <c r="O251" s="4">
        <v>17.72</v>
      </c>
      <c r="P251" s="4">
        <v>17.7</v>
      </c>
      <c r="Q251" s="4">
        <v>17.649999999999999</v>
      </c>
      <c r="R251" s="4">
        <v>17.920000000000002</v>
      </c>
      <c r="S251" s="4">
        <v>18.98</v>
      </c>
      <c r="T251" s="4">
        <v>18.920000000000002</v>
      </c>
      <c r="U251" s="4">
        <v>18.829999999999998</v>
      </c>
      <c r="V251" s="4">
        <v>20.29</v>
      </c>
      <c r="W251" s="4">
        <v>19.690000000000001</v>
      </c>
      <c r="X251" s="4">
        <v>18.36</v>
      </c>
      <c r="Y251" s="4">
        <v>17.61</v>
      </c>
      <c r="Z251" s="4">
        <v>17.02</v>
      </c>
      <c r="AA251" s="4">
        <v>17.07</v>
      </c>
      <c r="AB251" s="4">
        <v>15.79</v>
      </c>
      <c r="AC251" s="4">
        <v>15.2</v>
      </c>
      <c r="AD251" s="4">
        <v>15.51</v>
      </c>
      <c r="AE251" s="4">
        <v>15.26</v>
      </c>
      <c r="AF251" s="4">
        <v>15</v>
      </c>
      <c r="AG251" s="4">
        <v>13.28</v>
      </c>
      <c r="AH251" s="4">
        <v>12.53</v>
      </c>
      <c r="AI251" s="4">
        <v>12.35</v>
      </c>
      <c r="AJ251" s="4">
        <v>12.08</v>
      </c>
      <c r="AK251" s="4">
        <v>11.5</v>
      </c>
      <c r="AL251" s="4">
        <v>12.69</v>
      </c>
      <c r="AM251" s="4">
        <v>14.29</v>
      </c>
      <c r="AN251" s="4">
        <v>13.28</v>
      </c>
      <c r="AO251" s="4">
        <v>13.28</v>
      </c>
      <c r="AP251" s="4">
        <v>12.9</v>
      </c>
      <c r="AQ251" s="4">
        <v>12.82</v>
      </c>
      <c r="AR251" s="4">
        <v>10.86</v>
      </c>
      <c r="AS251" s="4">
        <v>10.8</v>
      </c>
      <c r="AT251" s="4">
        <v>11.19</v>
      </c>
      <c r="AU251" s="4">
        <v>11.01</v>
      </c>
      <c r="AV251" s="4">
        <v>11.8</v>
      </c>
      <c r="AW251" s="4">
        <v>10.35</v>
      </c>
      <c r="AX251" s="4">
        <v>10.43</v>
      </c>
      <c r="AY251" s="12">
        <v>10.31</v>
      </c>
      <c r="AZ251" s="12">
        <v>11.36</v>
      </c>
      <c r="BA251" s="12">
        <v>10.8</v>
      </c>
      <c r="BB251" s="15">
        <v>11.18</v>
      </c>
      <c r="BC251" s="52">
        <v>10.65</v>
      </c>
      <c r="BD251" s="52">
        <v>10.99</v>
      </c>
      <c r="BE251" s="52">
        <v>11.65</v>
      </c>
      <c r="BF251" s="52">
        <v>10.97</v>
      </c>
      <c r="BG251" s="67">
        <v>11.01</v>
      </c>
      <c r="BH251" s="52">
        <v>10.4</v>
      </c>
      <c r="BI251" s="52">
        <v>9.5</v>
      </c>
      <c r="BJ251" s="52">
        <v>9.8000000000000007</v>
      </c>
      <c r="BK251" s="52">
        <v>10.02</v>
      </c>
      <c r="BL251" s="52" cm="1">
        <f t="array" aca="1" ref="BL251" ca="1">_FV(EC251,"Preço")</f>
        <v>10.02</v>
      </c>
      <c r="BM251" s="69" t="s">
        <v>247</v>
      </c>
      <c r="BN251" s="36" cm="1">
        <f t="array" aca="1" ref="BN251" ca="1">_FV(EC251,"Média de volume",TRUE)</f>
        <v>3873210</v>
      </c>
      <c r="BO251" s="36">
        <v>16200</v>
      </c>
      <c r="BP251" s="36" cm="1">
        <f t="array" aca="1" ref="BP251" ca="1">_FV(EC251,"Volume")</f>
        <v>16200</v>
      </c>
      <c r="BQ251" s="24" cm="1">
        <f t="array" aca="1" ref="BQ251" ca="1">_FV(EC251,"Beta")</f>
        <v>1.07</v>
      </c>
      <c r="BR251" s="71" cm="1">
        <f t="array" aca="1" ref="BR251" ca="1">_FV(EC251,"Variação (%)",TRUE)</f>
        <v>-3.5611000000000004E-2</v>
      </c>
      <c r="BT251" s="17" cm="1">
        <f t="array" aca="1" ref="BT251" ca="1">_FV(EC251,"Baixo")</f>
        <v>9.9499999999999993</v>
      </c>
      <c r="BU251" s="17" cm="1">
        <f t="array" aca="1" ref="BU251" ca="1">_FV(EC251,"Alto")</f>
        <v>10.19</v>
      </c>
      <c r="BV251" s="24"/>
      <c r="BW251" s="63">
        <f ca="1">SQRT(22.5*(BL251/VLOOKUP(BM251,Fundamentus!A:U,3,FALSE))*(BL251/VLOOKUP(BM251,Fundamentus!A:U,4,FALSE)))</f>
        <v>33.893155583736096</v>
      </c>
      <c r="BY251" s="62">
        <f t="shared" ca="1" si="241"/>
        <v>0</v>
      </c>
      <c r="BZ251" s="8"/>
      <c r="CA251" s="61">
        <f t="shared" si="242"/>
        <v>9.5</v>
      </c>
      <c r="CB251" s="61">
        <f t="shared" si="243"/>
        <v>22.31</v>
      </c>
      <c r="CC251" s="61">
        <f t="shared" si="244"/>
        <v>14.836984126984124</v>
      </c>
      <c r="CD251" s="14"/>
      <c r="CE251" s="35">
        <f t="shared" si="227"/>
        <v>8.7537650645086487</v>
      </c>
      <c r="CF251" s="15">
        <f t="shared" si="245"/>
        <v>9.88799999999992</v>
      </c>
      <c r="CG251" s="35">
        <f t="shared" si="228"/>
        <v>11.022234935491191</v>
      </c>
      <c r="CI251" s="14"/>
      <c r="CJ251" s="17">
        <f t="shared" si="229"/>
        <v>-7.379999999999999</v>
      </c>
      <c r="CK251" s="17">
        <f t="shared" si="230"/>
        <v>1.0600000000000005</v>
      </c>
      <c r="CL251" s="17">
        <f t="shared" si="231"/>
        <v>5.43</v>
      </c>
      <c r="CM251" s="38">
        <f t="shared" si="246"/>
        <v>13.87</v>
      </c>
      <c r="CN251" s="17">
        <f t="shared" si="232"/>
        <v>18.239999999999998</v>
      </c>
      <c r="CO251" s="17">
        <f t="shared" si="233"/>
        <v>26.68</v>
      </c>
      <c r="CP251" s="17">
        <f t="shared" si="234"/>
        <v>31.049999999999997</v>
      </c>
      <c r="CQ251" s="2" cm="1">
        <f t="array" aca="1" ref="CQ251" ca="1">MAX(_xlfn._xlws.FILTER(CJ251:CP251,CJ251:CP251&lt;BL251))</f>
        <v>5.43</v>
      </c>
      <c r="CR251" s="2" cm="1">
        <f t="array" aca="1" ref="CR251" ca="1">MIN(_xlfn._xlws.FILTER($CJ251:$CP251,$CJ251:$CP251&gt;BL251))</f>
        <v>13.87</v>
      </c>
      <c r="CS251" s="16">
        <f t="shared" ca="1" si="248"/>
        <v>1.5543278084714549</v>
      </c>
      <c r="CT251" s="20">
        <f t="shared" ca="1" si="249"/>
        <v>-0.77716390423572745</v>
      </c>
      <c r="CU251" s="20">
        <f t="shared" ca="1" si="250"/>
        <v>-0.51810926949048497</v>
      </c>
      <c r="CV251" s="20">
        <f t="shared" ca="1" si="251"/>
        <v>-0.31086556169429097</v>
      </c>
      <c r="CW251" s="20">
        <f t="shared" ca="1" si="252"/>
        <v>-0.17270308983016167</v>
      </c>
      <c r="CX251" s="20">
        <f t="shared" ca="1" si="253"/>
        <v>-9.1431047557144401E-2</v>
      </c>
      <c r="CY251" s="20">
        <f t="shared" ca="1" si="254"/>
        <v>-4.710084268095318E-2</v>
      </c>
      <c r="CZ251" s="20">
        <f t="shared" ca="1" si="255"/>
        <v>-2.3912735514945459E-2</v>
      </c>
      <c r="DA251" s="21">
        <f t="shared" ca="1" si="256"/>
        <v>2.3912735514945459E-2</v>
      </c>
      <c r="DB251" s="21">
        <f t="shared" ca="1" si="257"/>
        <v>4.710084268095318E-2</v>
      </c>
      <c r="DC251" s="21">
        <f t="shared" ca="1" si="258"/>
        <v>9.1431047557144401E-2</v>
      </c>
      <c r="DD251" s="21">
        <f t="shared" ca="1" si="259"/>
        <v>0.17270308983016167</v>
      </c>
      <c r="DE251" s="21">
        <f t="shared" ca="1" si="260"/>
        <v>0.31086556169429097</v>
      </c>
      <c r="DF251" s="21">
        <f t="shared" ca="1" si="261"/>
        <v>0.51810926949048497</v>
      </c>
      <c r="DG251" s="21">
        <f t="shared" ca="1" si="262"/>
        <v>0.77716390423572745</v>
      </c>
      <c r="DI251" s="16" cm="1">
        <f t="array" aca="1" ref="DI251" ca="1">MAX(_xlfn._xlws.FILTER(CT251:DG251,CT251:DG251&lt;BR251))</f>
        <v>-4.710084268095318E-2</v>
      </c>
      <c r="DJ251" s="16" cm="1">
        <f t="array" aca="1" ref="DJ251" ca="1">MIN(_xlfn._xlws.FILTER(CT251:DG251,CT251:DG251&gt;BR251))</f>
        <v>-2.3912735514945459E-2</v>
      </c>
      <c r="DK251" s="2" cm="1">
        <f t="array" aca="1" ref="DK251" ca="1">_FV(EC251,"Fechamento anterior",TRUE)</f>
        <v>10.39</v>
      </c>
      <c r="DL251" s="28">
        <f t="shared" ca="1" si="235"/>
        <v>0.49549874931007998</v>
      </c>
      <c r="DM251" s="15">
        <f t="shared" ca="1" si="263"/>
        <v>9.9006222445448966</v>
      </c>
      <c r="DN251" s="15">
        <f t="shared" ca="1" si="264"/>
        <v>10.141546677999717</v>
      </c>
      <c r="DO251" s="9"/>
      <c r="DP251" s="9"/>
      <c r="DQ251" s="9"/>
      <c r="DR251" s="89">
        <v>3.9010118249420925E-2</v>
      </c>
      <c r="DS251" s="89">
        <v>3.5264293011464706E-2</v>
      </c>
      <c r="DT251" s="89">
        <v>4.7825471029890917E-2</v>
      </c>
      <c r="DU251" s="89">
        <v>2.3188107166007721E-2</v>
      </c>
      <c r="DV251" s="89">
        <f t="shared" ca="1" si="236"/>
        <v>2.3188107166007721E-2</v>
      </c>
      <c r="DW251" s="72">
        <f t="shared" ca="1" si="237"/>
        <v>0.11637800588720752</v>
      </c>
      <c r="DX251" s="37"/>
      <c r="DY251" s="35">
        <f t="shared" si="247"/>
        <v>0.56711746774563576</v>
      </c>
      <c r="DZ251" s="56"/>
      <c r="EA251" s="56"/>
      <c r="EC251" s="2" t="e" vm="253">
        <v>#VALUE!</v>
      </c>
      <c r="EE251" s="10" cm="1">
        <f t="array" aca="1" ref="EE251" ca="1">_FV(EC251,"Ações em circulação",TRUE)</f>
        <v>797207800</v>
      </c>
      <c r="EF251" s="18">
        <f>VLOOKUP(BM251,Fundamentus!A:U,5,FALSE)</f>
        <v>0.111</v>
      </c>
      <c r="EG251" s="2">
        <f t="shared" ca="1" si="238"/>
        <v>71964163567.567566</v>
      </c>
      <c r="EH251" s="17">
        <v>-9139448773.0810814</v>
      </c>
      <c r="EI251" s="17">
        <f t="shared" ca="1" si="239"/>
        <v>-9139448773.0810814</v>
      </c>
      <c r="EK251" s="16">
        <f t="shared" ca="1" si="226"/>
        <v>0</v>
      </c>
      <c r="EL251" s="32" t="str">
        <f>IF(VLOOKUP(BM251,Fundamentus!A:U,3,FALSE)&lt;15,"Bom",IF(VLOOKUP(BM251,Fundamentus!A:U,3,FALSE)&gt;15,"Ruim","n/a"))</f>
        <v>Bom</v>
      </c>
      <c r="EM251" s="28" t="str">
        <f>IF(VLOOKUP(BM251,Fundamentus!A:U,4,FALSE)&lt;1,"Baixo",IF(VLOOKUP(BM251,Fundamentus!A:U,4,FALSE)&lt;1.5,"Moderado",IF(VLOOKUP(BM251,Fundamentus!A:U,4,FALSE)&gt;1.5,"Alto","n/a")))</f>
        <v>Baixo</v>
      </c>
      <c r="EN251" s="17" t="str">
        <f>IF(VLOOKUP(BM251,Fundamentus!A:U,8,FALSE)&lt;0,"Risco elevado",IF(VLOOKUP(BM251,Fundamentus!A:U,8,FALSE)&lt;1,"Saudável",IF(VLOOKUP(BM251,Fundamentus!A:U,8,FALSE)&lt;3,"Estável",IF(VLOOKUP(BM251,Fundamentus!A:U,8,FALSE)&gt;3,"Alerta","n/a"))))</f>
        <v>Estável</v>
      </c>
      <c r="EO251" s="28" t="str">
        <f t="shared" si="240"/>
        <v>Ruim</v>
      </c>
      <c r="EP251" s="17" t="str">
        <f>IF(VLOOKUP(BM251,Fundamentus!A:U,12,FALSE)&lt;2,"Subvalorizada",IF(VLOOKUP(BM251,Fundamentus!A:U,12,FALSE)&lt;6,"Muita barata",IF(VLOOKUP(BM251,Fundamentus!A:U,12,FALSE)&lt;6,"Barata",IF(VLOOKUP(BM251,Fundamentus!A:U,12,FALSE)&lt;8,"Atrativa",IF(VLOOKUP(BM251,Fundamentus!A:U,12,FALSE)&gt;8,"Supervalorizada","n/a")))))</f>
        <v>Atrativa</v>
      </c>
      <c r="ER251" s="17" t="str">
        <f>IF(VLOOKUP(BM251,Fundamentus!A:U,17,FALSE)&lt;0.1,"Fraco retorno",IF(VLOOKUP(BM251,Fundamentus!A:U,17,FALSE)&gt;0.1,"Bom retorno","n/a"))</f>
        <v>Bom retorno</v>
      </c>
      <c r="ES251" s="17" t="str">
        <f>IF(VLOOKUP(BM251,Fundamentus!A:U,16,FALSE)&lt;0.1,"Ineficiente",IF(VLOOKUP(BM251,Fundamentus!A:U,16,FALSE)&gt;0.1,"Eficiente","n/a"))</f>
        <v>Ineficiente</v>
      </c>
      <c r="ET251" s="33" t="str">
        <f>IF(VLOOKUP(BM251,Fundamentus!A:U,16,FALSE)&lt;0.1,"Oper. Ineficiente",IF(VLOOKUP(BM251,Fundamentus!A:U,16,FALSE)&gt;0.1,"Oper.Eficiente","n/a"))</f>
        <v>Oper. Ineficiente</v>
      </c>
      <c r="EU251" s="34">
        <f>VLOOKUP(BM251,Fundamentus!A:U,14,FALSE)</f>
        <v>-0.127</v>
      </c>
      <c r="EV251" s="17" t="str">
        <f>IF(VLOOKUP(BM251,Fundamentus!A:U,21,FALSE)&lt;0,"Negativo",IF(VLOOKUP(BM251,Fundamentus!A:U,21,FALSE)&lt;0.05,"Fraco",IF(VLOOKUP(BM251,Fundamentus!A:U,21,FALSE)&lt;0.1,"Bom",IF(VLOOKUP(BM251,Fundamentus!A:U,21,FALSE)&gt;0.1,"Muito bom","n/a"))))</f>
        <v>Negativo</v>
      </c>
      <c r="EX251" s="29" t="str">
        <f>IF(VLOOKUP(BM251,Fundamentus!A:U,15,FALSE)&gt;1,"Bom",IF(VLOOKUP(BM251,Fundamentus!A:U,15,FALSE)&lt;1,"Ruim","n/a"))</f>
        <v>Bom</v>
      </c>
      <c r="EY251" s="17" t="str">
        <f>IF(VLOOKUP(BM251,Fundamentus!A:U,20,FALSE)&lt;0.5,"Baixa",IF(VLOOKUP(BM251,Fundamentus!A:U,20,FALSE)&lt;1,"Moderada",IF(VLOOKUP(BM251,Fundamentus!A:U,20,FALSE)&lt;2,"Alerta",IF(VLOOKUP(BM251,Fundamentus!A:U,20,FALSE)&gt;2,"Alta","n/a"))))</f>
        <v>Baixa</v>
      </c>
    </row>
    <row r="252" spans="1:155" s="2" customFormat="1" ht="11.25" x14ac:dyDescent="0.2">
      <c r="A252" s="4">
        <v>2.5499999999999998</v>
      </c>
      <c r="B252" s="4">
        <v>1.98</v>
      </c>
      <c r="C252" s="4">
        <v>2</v>
      </c>
      <c r="D252" s="4">
        <v>1.93</v>
      </c>
      <c r="E252" s="4">
        <v>1.8</v>
      </c>
      <c r="F252" s="4">
        <v>1.7</v>
      </c>
      <c r="G252" s="4">
        <v>1.56</v>
      </c>
      <c r="H252" s="4">
        <v>1.52</v>
      </c>
      <c r="I252" s="4">
        <v>1.48</v>
      </c>
      <c r="J252" s="4">
        <v>1.65</v>
      </c>
      <c r="K252" s="4">
        <v>1.7</v>
      </c>
      <c r="L252" s="4">
        <v>1.62</v>
      </c>
      <c r="M252" s="4">
        <v>1.54</v>
      </c>
      <c r="N252" s="4">
        <v>1.53</v>
      </c>
      <c r="O252" s="4">
        <v>1.32</v>
      </c>
      <c r="P252" s="4">
        <v>1.23</v>
      </c>
      <c r="Q252" s="4">
        <v>1.2</v>
      </c>
      <c r="R252" s="4">
        <v>1.0900000000000001</v>
      </c>
      <c r="S252" s="4">
        <v>0.98</v>
      </c>
      <c r="T252" s="4">
        <v>0.96</v>
      </c>
      <c r="U252" s="4">
        <v>1.01</v>
      </c>
      <c r="V252" s="4">
        <v>1.05</v>
      </c>
      <c r="W252" s="4">
        <v>0.98</v>
      </c>
      <c r="X252" s="4">
        <v>0.95</v>
      </c>
      <c r="Y252" s="4">
        <v>0.96</v>
      </c>
      <c r="Z252" s="4">
        <v>0.93</v>
      </c>
      <c r="AA252" s="4">
        <v>0.9</v>
      </c>
      <c r="AB252" s="4">
        <v>0.89</v>
      </c>
      <c r="AC252" s="4">
        <v>0.84</v>
      </c>
      <c r="AD252" s="4">
        <v>0.76</v>
      </c>
      <c r="AE252" s="4">
        <v>0.8</v>
      </c>
      <c r="AF252" s="4">
        <v>0.71</v>
      </c>
      <c r="AG252" s="4">
        <v>0.72</v>
      </c>
      <c r="AH252" s="4">
        <v>0.69</v>
      </c>
      <c r="AI252" s="4">
        <v>0.68</v>
      </c>
      <c r="AJ252" s="4">
        <v>0.71</v>
      </c>
      <c r="AK252" s="4">
        <v>0.76</v>
      </c>
      <c r="AL252" s="4">
        <v>0.75</v>
      </c>
      <c r="AM252" s="4">
        <v>0.72</v>
      </c>
      <c r="AN252" s="4">
        <v>0.74</v>
      </c>
      <c r="AO252" s="4">
        <v>0.71</v>
      </c>
      <c r="AP252" s="4">
        <v>0.71</v>
      </c>
      <c r="AQ252" s="4">
        <v>0.7</v>
      </c>
      <c r="AR252" s="4">
        <v>0.77</v>
      </c>
      <c r="AS252" s="4">
        <v>0.73</v>
      </c>
      <c r="AT252" s="4">
        <v>0.72</v>
      </c>
      <c r="AU252" s="4">
        <v>0.75</v>
      </c>
      <c r="AV252" s="4">
        <v>0.68</v>
      </c>
      <c r="AW252" s="4">
        <v>0.66</v>
      </c>
      <c r="AX252" s="4">
        <v>0.63</v>
      </c>
      <c r="AY252" s="12">
        <v>0.64</v>
      </c>
      <c r="AZ252" s="12">
        <v>0.67</v>
      </c>
      <c r="BA252" s="12">
        <v>0.67</v>
      </c>
      <c r="BB252" s="15">
        <v>0.72</v>
      </c>
      <c r="BC252" s="52">
        <v>0.74</v>
      </c>
      <c r="BD252" s="52">
        <v>0.7</v>
      </c>
      <c r="BE252" s="52">
        <v>7</v>
      </c>
      <c r="BF252" s="52">
        <v>6.41</v>
      </c>
      <c r="BG252" s="67">
        <v>6.5</v>
      </c>
      <c r="BH252" s="52">
        <v>6.7</v>
      </c>
      <c r="BI252" s="52">
        <v>6.44</v>
      </c>
      <c r="BJ252" s="52">
        <v>6.74</v>
      </c>
      <c r="BK252" s="52">
        <v>6.44</v>
      </c>
      <c r="BL252" s="52" cm="1">
        <f t="array" aca="1" ref="BL252" ca="1">_FV(EC252,"Preço")</f>
        <v>6.44</v>
      </c>
      <c r="BM252" s="69" t="s">
        <v>248</v>
      </c>
      <c r="BN252" s="36" cm="1">
        <f t="array" aca="1" ref="BN252" ca="1">_FV(EC252,"Média de volume",TRUE)</f>
        <v>28220</v>
      </c>
      <c r="BO252" s="36">
        <v>14800</v>
      </c>
      <c r="BP252" s="36" cm="1">
        <f t="array" aca="1" ref="BP252" ca="1">_FV(EC252,"Volume")</f>
        <v>14800</v>
      </c>
      <c r="BQ252" s="24" cm="1">
        <f t="array" aca="1" ref="BQ252" ca="1">_FV(EC252,"Beta")</f>
        <v>1.8903000000000001</v>
      </c>
      <c r="BR252" s="71" cm="1">
        <f t="array" aca="1" ref="BR252" ca="1">_FV(EC252,"Variação (%)",TRUE)</f>
        <v>0</v>
      </c>
      <c r="BT252" s="17" cm="1">
        <f t="array" aca="1" ref="BT252" ca="1">_FV(EC252,"Baixo")</f>
        <v>6.34</v>
      </c>
      <c r="BU252" s="17" cm="1">
        <f t="array" aca="1" ref="BU252" ca="1">_FV(EC252,"Alto")</f>
        <v>6.44</v>
      </c>
      <c r="BV252" s="24"/>
      <c r="BW252" s="63" t="e">
        <f ca="1">SQRT(22.5*(BL252/VLOOKUP(BM252,Fundamentus!A:U,3,FALSE))*(BL252/VLOOKUP(BM252,Fundamentus!A:U,4,FALSE)))</f>
        <v>#NUM!</v>
      </c>
      <c r="BY252" s="62">
        <f t="shared" ca="1" si="241"/>
        <v>0</v>
      </c>
      <c r="BZ252" s="8"/>
      <c r="CA252" s="61">
        <f t="shared" si="242"/>
        <v>0.63</v>
      </c>
      <c r="CB252" s="61">
        <f t="shared" si="243"/>
        <v>7</v>
      </c>
      <c r="CC252" s="61">
        <f t="shared" si="244"/>
        <v>1.6717460317460315</v>
      </c>
      <c r="CD252" s="14"/>
      <c r="CE252" s="35">
        <f t="shared" si="227"/>
        <v>6.2925822919982455</v>
      </c>
      <c r="CF252" s="15">
        <f t="shared" si="245"/>
        <v>6.5559999999999832</v>
      </c>
      <c r="CG252" s="35">
        <f t="shared" si="228"/>
        <v>6.8194177080017209</v>
      </c>
      <c r="CI252" s="14"/>
      <c r="CJ252" s="17">
        <f t="shared" si="229"/>
        <v>-3.79</v>
      </c>
      <c r="CK252" s="17">
        <f t="shared" si="230"/>
        <v>-1.58</v>
      </c>
      <c r="CL252" s="17">
        <f t="shared" si="231"/>
        <v>2.58</v>
      </c>
      <c r="CM252" s="38">
        <f t="shared" si="246"/>
        <v>4.79</v>
      </c>
      <c r="CN252" s="17">
        <f t="shared" si="232"/>
        <v>8.9499999999999993</v>
      </c>
      <c r="CO252" s="17">
        <f t="shared" si="233"/>
        <v>11.16</v>
      </c>
      <c r="CP252" s="17">
        <f t="shared" si="234"/>
        <v>15.32</v>
      </c>
      <c r="CQ252" s="2" cm="1">
        <f t="array" aca="1" ref="CQ252" ca="1">MAX(_xlfn._xlws.FILTER(CJ252:CP252,CJ252:CP252&lt;BL252))</f>
        <v>4.79</v>
      </c>
      <c r="CR252" s="2" cm="1">
        <f t="array" aca="1" ref="CR252" ca="1">MIN(_xlfn._xlws.FILTER($CJ252:$CP252,$CJ252:$CP252&gt;BL252))</f>
        <v>8.9499999999999993</v>
      </c>
      <c r="CS252" s="16">
        <f t="shared" ca="1" si="248"/>
        <v>0.86847599164926925</v>
      </c>
      <c r="CT252" s="20">
        <f t="shared" ca="1" si="249"/>
        <v>-0.43423799582463463</v>
      </c>
      <c r="CU252" s="20">
        <f t="shared" ca="1" si="250"/>
        <v>-0.2894919972164231</v>
      </c>
      <c r="CV252" s="20">
        <f t="shared" ca="1" si="251"/>
        <v>-0.17369519832985386</v>
      </c>
      <c r="CW252" s="20">
        <f t="shared" ca="1" si="252"/>
        <v>-9.6497332405474368E-2</v>
      </c>
      <c r="CX252" s="20">
        <f t="shared" ca="1" si="253"/>
        <v>-5.1086823038192307E-2</v>
      </c>
      <c r="CY252" s="20">
        <f t="shared" ca="1" si="254"/>
        <v>-2.63174542924021E-2</v>
      </c>
      <c r="CZ252" s="20">
        <f t="shared" ca="1" si="255"/>
        <v>-1.336116910229645E-2</v>
      </c>
      <c r="DA252" s="21">
        <f t="shared" ca="1" si="256"/>
        <v>1.336116910229645E-2</v>
      </c>
      <c r="DB252" s="21">
        <f t="shared" ca="1" si="257"/>
        <v>2.63174542924021E-2</v>
      </c>
      <c r="DC252" s="21">
        <f t="shared" ca="1" si="258"/>
        <v>5.1086823038192307E-2</v>
      </c>
      <c r="DD252" s="21">
        <f t="shared" ca="1" si="259"/>
        <v>9.6497332405474368E-2</v>
      </c>
      <c r="DE252" s="21">
        <f t="shared" ca="1" si="260"/>
        <v>0.17369519832985386</v>
      </c>
      <c r="DF252" s="21">
        <f t="shared" ca="1" si="261"/>
        <v>0.2894919972164231</v>
      </c>
      <c r="DG252" s="21">
        <f t="shared" ca="1" si="262"/>
        <v>0.43423799582463463</v>
      </c>
      <c r="DI252" s="16" cm="1">
        <f t="array" aca="1" ref="DI252" ca="1">MAX(_xlfn._xlws.FILTER(CT252:DG252,CT252:DG252&lt;BR252))</f>
        <v>-1.336116910229645E-2</v>
      </c>
      <c r="DJ252" s="16" cm="1">
        <f t="array" aca="1" ref="DJ252" ca="1">MIN(_xlfn._xlws.FILTER(CT252:DG252,CT252:DG252&gt;BR252))</f>
        <v>1.336116910229645E-2</v>
      </c>
      <c r="DK252" s="2" cm="1">
        <f t="array" aca="1" ref="DK252" ca="1">_FV(EC252,"Fechamento anterior",TRUE)</f>
        <v>6.44</v>
      </c>
      <c r="DL252" s="28">
        <f t="shared" ca="1" si="235"/>
        <v>0.5</v>
      </c>
      <c r="DM252" s="15">
        <f t="shared" ca="1" si="263"/>
        <v>6.353954070981211</v>
      </c>
      <c r="DN252" s="15">
        <f t="shared" ca="1" si="264"/>
        <v>6.5260459290187898</v>
      </c>
      <c r="DO252" s="9"/>
      <c r="DP252" s="9"/>
      <c r="DQ252" s="9"/>
      <c r="DR252" s="89">
        <v>1.6707731475717719E-2</v>
      </c>
      <c r="DS252" s="89">
        <v>1.2922958145888079E-2</v>
      </c>
      <c r="DT252" s="89">
        <v>2.4769368745790207E-2</v>
      </c>
      <c r="DU252" s="89">
        <v>2.67223382045929E-2</v>
      </c>
      <c r="DV252" s="89">
        <f t="shared" ca="1" si="236"/>
        <v>2.67223382045929E-2</v>
      </c>
      <c r="DW252" s="72">
        <f t="shared" ca="1" si="237"/>
        <v>-0.44036523163134333</v>
      </c>
      <c r="DX252" s="37"/>
      <c r="DY252" s="35">
        <f t="shared" si="247"/>
        <v>0.13170885400086896</v>
      </c>
      <c r="DZ252" s="56"/>
      <c r="EA252" s="56"/>
      <c r="EC252" s="2" t="e" vm="254">
        <v>#VALUE!</v>
      </c>
      <c r="EE252" s="10" cm="1">
        <f t="array" aca="1" ref="EE252" ca="1">_FV(EC252,"Ações em circulação",TRUE)</f>
        <v>67412640</v>
      </c>
      <c r="EF252" s="18">
        <f>VLOOKUP(BM252,Fundamentus!A:U,5,FALSE)</f>
        <v>0.28499999999999998</v>
      </c>
      <c r="EG252" s="2">
        <f t="shared" ca="1" si="238"/>
        <v>1523289128.4210529</v>
      </c>
      <c r="EH252" s="17">
        <v>-760578261.82063174</v>
      </c>
      <c r="EI252" s="17">
        <f t="shared" ca="1" si="239"/>
        <v>-760578261.82063174</v>
      </c>
      <c r="EK252" s="16">
        <f t="shared" ca="1" si="226"/>
        <v>0</v>
      </c>
      <c r="EL252" s="32" t="str">
        <f>IF(VLOOKUP(BM252,Fundamentus!A:U,3,FALSE)&lt;15,"Bom",IF(VLOOKUP(BM252,Fundamentus!A:U,3,FALSE)&gt;15,"Ruim","n/a"))</f>
        <v>Bom</v>
      </c>
      <c r="EM252" s="28" t="str">
        <f>IF(VLOOKUP(BM252,Fundamentus!A:U,4,FALSE)&lt;1,"Baixo",IF(VLOOKUP(BM252,Fundamentus!A:U,4,FALSE)&lt;1.5,"Moderado",IF(VLOOKUP(BM252,Fundamentus!A:U,4,FALSE)&gt;1.5,"Alto","n/a")))</f>
        <v>Baixo</v>
      </c>
      <c r="EN252" s="17" t="str">
        <f>IF(VLOOKUP(BM252,Fundamentus!A:U,8,FALSE)&lt;0,"Risco elevado",IF(VLOOKUP(BM252,Fundamentus!A:U,8,FALSE)&lt;1,"Saudável",IF(VLOOKUP(BM252,Fundamentus!A:U,8,FALSE)&lt;3,"Estável",IF(VLOOKUP(BM252,Fundamentus!A:U,8,FALSE)&gt;3,"Alerta","n/a"))))</f>
        <v>Saudável</v>
      </c>
      <c r="EO252" s="28" t="str">
        <f t="shared" si="240"/>
        <v>Ruim</v>
      </c>
      <c r="EP252" s="17" t="str">
        <f>IF(VLOOKUP(BM252,Fundamentus!A:U,12,FALSE)&lt;2,"Subvalorizada",IF(VLOOKUP(BM252,Fundamentus!A:U,12,FALSE)&lt;6,"Muita barata",IF(VLOOKUP(BM252,Fundamentus!A:U,12,FALSE)&lt;6,"Barata",IF(VLOOKUP(BM252,Fundamentus!A:U,12,FALSE)&lt;8,"Atrativa",IF(VLOOKUP(BM252,Fundamentus!A:U,12,FALSE)&gt;8,"Supervalorizada","n/a")))))</f>
        <v>Subvalorizada</v>
      </c>
      <c r="ER252" s="17" t="str">
        <f>IF(VLOOKUP(BM252,Fundamentus!A:U,17,FALSE)&lt;0.1,"Fraco retorno",IF(VLOOKUP(BM252,Fundamentus!A:U,17,FALSE)&gt;0.1,"Bom retorno","n/a"))</f>
        <v>Fraco retorno</v>
      </c>
      <c r="ES252" s="17" t="str">
        <f>IF(VLOOKUP(BM252,Fundamentus!A:U,16,FALSE)&lt;0.1,"Ineficiente",IF(VLOOKUP(BM252,Fundamentus!A:U,16,FALSE)&gt;0.1,"Eficiente","n/a"))</f>
        <v>Ineficiente</v>
      </c>
      <c r="ET252" s="33" t="str">
        <f>IF(VLOOKUP(BM252,Fundamentus!A:U,16,FALSE)&lt;0.1,"Oper. Ineficiente",IF(VLOOKUP(BM252,Fundamentus!A:U,16,FALSE)&gt;0.1,"Oper.Eficiente","n/a"))</f>
        <v>Oper. Ineficiente</v>
      </c>
      <c r="EU252" s="34">
        <f>VLOOKUP(BM252,Fundamentus!A:U,14,FALSE)</f>
        <v>-0.49930000000000002</v>
      </c>
      <c r="EV252" s="17" t="str">
        <f>IF(VLOOKUP(BM252,Fundamentus!A:U,21,FALSE)&lt;0,"Negativo",IF(VLOOKUP(BM252,Fundamentus!A:U,21,FALSE)&lt;0.05,"Fraco",IF(VLOOKUP(BM252,Fundamentus!A:U,21,FALSE)&lt;0.1,"Bom",IF(VLOOKUP(BM252,Fundamentus!A:U,21,FALSE)&gt;0.1,"Muito bom","n/a"))))</f>
        <v>Muito bom</v>
      </c>
      <c r="EX252" s="29" t="str">
        <f>IF(VLOOKUP(BM252,Fundamentus!A:U,15,FALSE)&gt;1,"Bom",IF(VLOOKUP(BM252,Fundamentus!A:U,15,FALSE)&lt;1,"Ruim","n/a"))</f>
        <v>Bom</v>
      </c>
      <c r="EY252" s="17" t="str">
        <f>IF(VLOOKUP(BM252,Fundamentus!A:U,20,FALSE)&lt;0.5,"Baixa",IF(VLOOKUP(BM252,Fundamentus!A:U,20,FALSE)&lt;1,"Moderada",IF(VLOOKUP(BM252,Fundamentus!A:U,20,FALSE)&lt;2,"Alerta",IF(VLOOKUP(BM252,Fundamentus!A:U,20,FALSE)&gt;2,"Alta","n/a"))))</f>
        <v>Moderada</v>
      </c>
    </row>
    <row r="253" spans="1:155" s="2" customFormat="1" ht="11.25" x14ac:dyDescent="0.2">
      <c r="A253" s="4">
        <v>1.49</v>
      </c>
      <c r="B253" s="4">
        <v>1.36</v>
      </c>
      <c r="C253" s="4">
        <v>1.38</v>
      </c>
      <c r="D253" s="4">
        <v>1.31</v>
      </c>
      <c r="E253" s="4">
        <v>1.24</v>
      </c>
      <c r="F253" s="4">
        <v>1.23</v>
      </c>
      <c r="G253" s="4">
        <v>1.28</v>
      </c>
      <c r="H253" s="4">
        <v>1.42</v>
      </c>
      <c r="I253" s="4">
        <v>1.59</v>
      </c>
      <c r="J253" s="4">
        <v>1.62</v>
      </c>
      <c r="K253" s="4">
        <v>1.69</v>
      </c>
      <c r="L253" s="4">
        <v>1.59</v>
      </c>
      <c r="M253" s="4">
        <v>1.43</v>
      </c>
      <c r="N253" s="4">
        <v>1.45</v>
      </c>
      <c r="O253" s="4">
        <v>1.53</v>
      </c>
      <c r="P253" s="4">
        <v>1.46</v>
      </c>
      <c r="Q253" s="4">
        <v>1.46</v>
      </c>
      <c r="R253" s="4">
        <v>1.5</v>
      </c>
      <c r="S253" s="4">
        <v>1.41</v>
      </c>
      <c r="T253" s="4">
        <v>1.32</v>
      </c>
      <c r="U253" s="4">
        <v>1.19</v>
      </c>
      <c r="V253" s="4">
        <v>1.36</v>
      </c>
      <c r="W253" s="4">
        <v>1.28</v>
      </c>
      <c r="X253" s="4">
        <v>1.25</v>
      </c>
      <c r="Y253" s="4">
        <v>1.24</v>
      </c>
      <c r="Z253" s="4">
        <v>1.21</v>
      </c>
      <c r="AA253" s="4">
        <v>1.1299999999999999</v>
      </c>
      <c r="AB253" s="4">
        <v>1.1599999999999999</v>
      </c>
      <c r="AC253" s="4">
        <v>1.1599999999999999</v>
      </c>
      <c r="AD253" s="4">
        <v>1.06</v>
      </c>
      <c r="AE253" s="4">
        <v>0.91</v>
      </c>
      <c r="AF253" s="4">
        <v>0.81</v>
      </c>
      <c r="AG253" s="4">
        <v>1.02</v>
      </c>
      <c r="AH253" s="4">
        <v>1.03</v>
      </c>
      <c r="AI253" s="4">
        <v>1.05</v>
      </c>
      <c r="AJ253" s="4">
        <v>1.01</v>
      </c>
      <c r="AK253" s="4">
        <v>0.98</v>
      </c>
      <c r="AL253" s="4">
        <v>1.07</v>
      </c>
      <c r="AM253" s="4">
        <v>1.23</v>
      </c>
      <c r="AN253" s="4">
        <v>1.28</v>
      </c>
      <c r="AO253" s="4">
        <v>1.6</v>
      </c>
      <c r="AP253" s="4">
        <v>0.8</v>
      </c>
      <c r="AQ253" s="4">
        <v>0.92</v>
      </c>
      <c r="AR253" s="4">
        <v>1.1399999999999999</v>
      </c>
      <c r="AS253" s="4">
        <v>1.04</v>
      </c>
      <c r="AT253" s="4">
        <v>0.89</v>
      </c>
      <c r="AU253" s="4">
        <v>0.91</v>
      </c>
      <c r="AV253" s="4">
        <v>0.91</v>
      </c>
      <c r="AW253" s="4">
        <v>0.8</v>
      </c>
      <c r="AX253" s="4">
        <v>0.77</v>
      </c>
      <c r="AY253" s="12">
        <v>0.72</v>
      </c>
      <c r="AZ253" s="12">
        <v>0.7</v>
      </c>
      <c r="BA253" s="12">
        <v>0.67</v>
      </c>
      <c r="BB253" s="15">
        <v>0.74</v>
      </c>
      <c r="BC253" s="52">
        <v>0.71</v>
      </c>
      <c r="BD253" s="52">
        <v>0.59</v>
      </c>
      <c r="BE253" s="52">
        <v>0.56000000000000005</v>
      </c>
      <c r="BF253" s="52">
        <v>0.56999999999999995</v>
      </c>
      <c r="BG253" s="67">
        <v>0.5</v>
      </c>
      <c r="BH253" s="52">
        <v>0.46</v>
      </c>
      <c r="BI253" s="52">
        <v>0.46</v>
      </c>
      <c r="BJ253" s="52">
        <v>0.46</v>
      </c>
      <c r="BK253" s="52">
        <v>0.61</v>
      </c>
      <c r="BL253" s="52" cm="1">
        <f t="array" aca="1" ref="BL253" ca="1">_FV(EC253,"Preço")</f>
        <v>0.61</v>
      </c>
      <c r="BM253" s="69" t="s">
        <v>249</v>
      </c>
      <c r="BN253" s="36" cm="1">
        <f t="array" aca="1" ref="BN253" ca="1">_FV(EC253,"Média de volume",TRUE)</f>
        <v>5614700</v>
      </c>
      <c r="BO253" s="36">
        <v>2230200</v>
      </c>
      <c r="BP253" s="36" cm="1">
        <f t="array" aca="1" ref="BP253" ca="1">_FV(EC253,"Volume")</f>
        <v>2230200</v>
      </c>
      <c r="BQ253" s="24" cm="1">
        <f t="array" aca="1" ref="BQ253" ca="1">_FV(EC253,"Beta")</f>
        <v>1.0603</v>
      </c>
      <c r="BR253" s="71" cm="1">
        <f t="array" aca="1" ref="BR253" ca="1">_FV(EC253,"Variação (%)",TRUE)</f>
        <v>7.0175000000000001E-2</v>
      </c>
      <c r="BT253" s="17" cm="1">
        <f t="array" aca="1" ref="BT253" ca="1">_FV(EC253,"Baixo")</f>
        <v>0.57999999999999996</v>
      </c>
      <c r="BU253" s="17" cm="1">
        <f t="array" aca="1" ref="BU253" ca="1">_FV(EC253,"Alto")</f>
        <v>0.62</v>
      </c>
      <c r="BV253" s="24"/>
      <c r="BW253" s="63" t="e">
        <f ca="1">SQRT(22.5*(BL253/VLOOKUP(BM253,Fundamentus!A:U,3,FALSE))*(BL253/VLOOKUP(BM253,Fundamentus!A:U,4,FALSE)))</f>
        <v>#NUM!</v>
      </c>
      <c r="BY253" s="62">
        <f t="shared" ca="1" si="241"/>
        <v>0</v>
      </c>
      <c r="BZ253" s="8"/>
      <c r="CA253" s="61">
        <f t="shared" si="242"/>
        <v>0.46</v>
      </c>
      <c r="CB253" s="61">
        <f t="shared" si="243"/>
        <v>1.69</v>
      </c>
      <c r="CC253" s="61">
        <f t="shared" si="244"/>
        <v>1.0907936507936504</v>
      </c>
      <c r="CD253" s="14"/>
      <c r="CE253" s="35">
        <f t="shared" si="227"/>
        <v>0.40111630333246751</v>
      </c>
      <c r="CF253" s="15">
        <f t="shared" si="245"/>
        <v>0.51999999999998181</v>
      </c>
      <c r="CG253" s="35">
        <f t="shared" si="228"/>
        <v>0.63888369666749611</v>
      </c>
      <c r="CI253" s="14"/>
      <c r="CJ253" s="17">
        <f t="shared" si="229"/>
        <v>-1.18</v>
      </c>
      <c r="CK253" s="17">
        <f t="shared" si="230"/>
        <v>-0.36</v>
      </c>
      <c r="CL253" s="17">
        <f t="shared" si="231"/>
        <v>5.0000000000000044E-2</v>
      </c>
      <c r="CM253" s="38">
        <f t="shared" si="246"/>
        <v>0.87</v>
      </c>
      <c r="CN253" s="17">
        <f t="shared" si="232"/>
        <v>1.28</v>
      </c>
      <c r="CO253" s="17">
        <f t="shared" si="233"/>
        <v>2.1</v>
      </c>
      <c r="CP253" s="17">
        <f t="shared" si="234"/>
        <v>2.5099999999999998</v>
      </c>
      <c r="CQ253" s="2" cm="1">
        <f t="array" aca="1" ref="CQ253" ca="1">MAX(_xlfn._xlws.FILTER(CJ253:CP253,CJ253:CP253&lt;BL253))</f>
        <v>5.0000000000000044E-2</v>
      </c>
      <c r="CR253" s="2" cm="1">
        <f t="array" aca="1" ref="CR253" ca="1">MIN(_xlfn._xlws.FILTER($CJ253:$CP253,$CJ253:$CP253&gt;BL253))</f>
        <v>0.87</v>
      </c>
      <c r="CS253" s="16">
        <f t="shared" ca="1" si="248"/>
        <v>16.399999999999984</v>
      </c>
      <c r="CT253" s="20">
        <f t="shared" ca="1" si="249"/>
        <v>-8.1999999999999922</v>
      </c>
      <c r="CU253" s="20">
        <f t="shared" ca="1" si="250"/>
        <v>-5.4666666666666615</v>
      </c>
      <c r="CV253" s="20">
        <f t="shared" ca="1" si="251"/>
        <v>-3.2799999999999967</v>
      </c>
      <c r="CW253" s="20">
        <f t="shared" ca="1" si="252"/>
        <v>-1.8222222222222204</v>
      </c>
      <c r="CX253" s="20">
        <f t="shared" ca="1" si="253"/>
        <v>-0.9647058823529403</v>
      </c>
      <c r="CY253" s="20">
        <f t="shared" ca="1" si="254"/>
        <v>-0.49696969696969651</v>
      </c>
      <c r="CZ253" s="20">
        <f t="shared" ca="1" si="255"/>
        <v>-0.25230769230769207</v>
      </c>
      <c r="DA253" s="21">
        <f t="shared" ca="1" si="256"/>
        <v>0.25230769230769207</v>
      </c>
      <c r="DB253" s="21">
        <f t="shared" ca="1" si="257"/>
        <v>0.49696969696969651</v>
      </c>
      <c r="DC253" s="21">
        <f t="shared" ca="1" si="258"/>
        <v>0.9647058823529403</v>
      </c>
      <c r="DD253" s="21">
        <f t="shared" ca="1" si="259"/>
        <v>1.8222222222222204</v>
      </c>
      <c r="DE253" s="21">
        <f t="shared" ca="1" si="260"/>
        <v>3.2799999999999967</v>
      </c>
      <c r="DF253" s="21">
        <f t="shared" ca="1" si="261"/>
        <v>5.4666666666666615</v>
      </c>
      <c r="DG253" s="21">
        <f t="shared" ca="1" si="262"/>
        <v>8.1999999999999922</v>
      </c>
      <c r="DI253" s="16" cm="1">
        <f t="array" aca="1" ref="DI253" ca="1">MAX(_xlfn._xlws.FILTER(CT253:DG253,CT253:DG253&lt;BR253))</f>
        <v>-0.25230769230769207</v>
      </c>
      <c r="DJ253" s="16" cm="1">
        <f t="array" aca="1" ref="DJ253" ca="1">MIN(_xlfn._xlws.FILTER(CT253:DG253,CT253:DG253&gt;BR253))</f>
        <v>0.25230769230769207</v>
      </c>
      <c r="DK253" s="2" cm="1">
        <f t="array" aca="1" ref="DK253" ca="1">_FV(EC253,"Fechamento anterior",TRUE)</f>
        <v>0.56999999999999995</v>
      </c>
      <c r="DL253" s="28">
        <f t="shared" ca="1" si="235"/>
        <v>0.63906718014548591</v>
      </c>
      <c r="DM253" s="15">
        <f t="shared" ca="1" si="263"/>
        <v>0.42618461538461549</v>
      </c>
      <c r="DN253" s="15">
        <f t="shared" ca="1" si="264"/>
        <v>0.71381538461538441</v>
      </c>
      <c r="DO253" s="9"/>
      <c r="DP253" s="9"/>
      <c r="DQ253" s="9"/>
      <c r="DR253" s="89">
        <v>0.18109890109890073</v>
      </c>
      <c r="DS253" s="89">
        <v>0.23622828784119118</v>
      </c>
      <c r="DT253" s="89">
        <v>0.50461538461538413</v>
      </c>
      <c r="DU253" s="89">
        <v>0.50461538461538413</v>
      </c>
      <c r="DV253" s="89">
        <f t="shared" ca="1" si="236"/>
        <v>0.50461538461538413</v>
      </c>
      <c r="DW253" s="72">
        <f t="shared" ca="1" si="237"/>
        <v>0.75704240802440681</v>
      </c>
      <c r="DX253" s="37"/>
      <c r="DY253" s="35">
        <f t="shared" si="247"/>
        <v>5.9441848333757152E-2</v>
      </c>
      <c r="DZ253" s="56"/>
      <c r="EA253" s="56"/>
      <c r="EC253" s="2" t="e" vm="255">
        <v>#VALUE!</v>
      </c>
      <c r="EE253" s="10" cm="1">
        <f t="array" aca="1" ref="EE253" ca="1">_FV(EC253,"Ações em circulação",TRUE)</f>
        <v>592753700</v>
      </c>
      <c r="EF253" s="18">
        <f>VLOOKUP(BM253,Fundamentus!A:U,5,FALSE)</f>
        <v>1.9279999999999999</v>
      </c>
      <c r="EG253" s="2">
        <f t="shared" ca="1" si="238"/>
        <v>187541367.73858923</v>
      </c>
      <c r="EH253" s="17">
        <v>-321089575.70523858</v>
      </c>
      <c r="EI253" s="17">
        <f t="shared" ca="1" si="239"/>
        <v>-321089575.70523858</v>
      </c>
      <c r="EK253" s="16">
        <f t="shared" ca="1" si="226"/>
        <v>0</v>
      </c>
      <c r="EL253" s="32" t="str">
        <f>IF(VLOOKUP(BM253,Fundamentus!A:U,3,FALSE)&lt;15,"Bom",IF(VLOOKUP(BM253,Fundamentus!A:U,3,FALSE)&gt;15,"Ruim","n/a"))</f>
        <v>Bom</v>
      </c>
      <c r="EM253" s="28" t="str">
        <f>IF(VLOOKUP(BM253,Fundamentus!A:U,4,FALSE)&lt;1,"Baixo",IF(VLOOKUP(BM253,Fundamentus!A:U,4,FALSE)&lt;1.5,"Moderado",IF(VLOOKUP(BM253,Fundamentus!A:U,4,FALSE)&gt;1.5,"Alto","n/a")))</f>
        <v>Baixo</v>
      </c>
      <c r="EN253" s="17" t="str">
        <f>IF(VLOOKUP(BM253,Fundamentus!A:U,8,FALSE)&lt;0,"Risco elevado",IF(VLOOKUP(BM253,Fundamentus!A:U,8,FALSE)&lt;1,"Saudável",IF(VLOOKUP(BM253,Fundamentus!A:U,8,FALSE)&lt;3,"Estável",IF(VLOOKUP(BM253,Fundamentus!A:U,8,FALSE)&gt;3,"Alerta","n/a"))))</f>
        <v>Risco elevado</v>
      </c>
      <c r="EO253" s="28" t="str">
        <f t="shared" si="240"/>
        <v>Bom</v>
      </c>
      <c r="EP253" s="17" t="str">
        <f>IF(VLOOKUP(BM253,Fundamentus!A:U,12,FALSE)&lt;2,"Subvalorizada",IF(VLOOKUP(BM253,Fundamentus!A:U,12,FALSE)&lt;6,"Muita barata",IF(VLOOKUP(BM253,Fundamentus!A:U,12,FALSE)&lt;6,"Barata",IF(VLOOKUP(BM253,Fundamentus!A:U,12,FALSE)&lt;8,"Atrativa",IF(VLOOKUP(BM253,Fundamentus!A:U,12,FALSE)&gt;8,"Supervalorizada","n/a")))))</f>
        <v>Subvalorizada</v>
      </c>
      <c r="ER253" s="17" t="str">
        <f>IF(VLOOKUP(BM253,Fundamentus!A:U,17,FALSE)&lt;0.1,"Fraco retorno",IF(VLOOKUP(BM253,Fundamentus!A:U,17,FALSE)&gt;0.1,"Bom retorno","n/a"))</f>
        <v>Fraco retorno</v>
      </c>
      <c r="ES253" s="17" t="str">
        <f>IF(VLOOKUP(BM253,Fundamentus!A:U,16,FALSE)&lt;0.1,"Ineficiente",IF(VLOOKUP(BM253,Fundamentus!A:U,16,FALSE)&gt;0.1,"Eficiente","n/a"))</f>
        <v>Ineficiente</v>
      </c>
      <c r="ET253" s="33" t="str">
        <f>IF(VLOOKUP(BM253,Fundamentus!A:U,16,FALSE)&lt;0.1,"Oper. Ineficiente",IF(VLOOKUP(BM253,Fundamentus!A:U,16,FALSE)&gt;0.1,"Oper.Eficiente","n/a"))</f>
        <v>Oper. Ineficiente</v>
      </c>
      <c r="EU253" s="34">
        <f>VLOOKUP(BM253,Fundamentus!A:U,14,FALSE)</f>
        <v>-1.7121</v>
      </c>
      <c r="EV253" s="17" t="str">
        <f>IF(VLOOKUP(BM253,Fundamentus!A:U,21,FALSE)&lt;0,"Negativo",IF(VLOOKUP(BM253,Fundamentus!A:U,21,FALSE)&lt;0.05,"Fraco",IF(VLOOKUP(BM253,Fundamentus!A:U,21,FALSE)&lt;0.1,"Bom",IF(VLOOKUP(BM253,Fundamentus!A:U,21,FALSE)&gt;0.1,"Muito bom","n/a"))))</f>
        <v>Muito bom</v>
      </c>
      <c r="EX253" s="29" t="str">
        <f>IF(VLOOKUP(BM253,Fundamentus!A:U,15,FALSE)&gt;1,"Bom",IF(VLOOKUP(BM253,Fundamentus!A:U,15,FALSE)&lt;1,"Ruim","n/a"))</f>
        <v>Ruim</v>
      </c>
      <c r="EY253" s="17" t="str">
        <f>IF(VLOOKUP(BM253,Fundamentus!A:U,20,FALSE)&lt;0.5,"Baixa",IF(VLOOKUP(BM253,Fundamentus!A:U,20,FALSE)&lt;1,"Moderada",IF(VLOOKUP(BM253,Fundamentus!A:U,20,FALSE)&lt;2,"Alerta",IF(VLOOKUP(BM253,Fundamentus!A:U,20,FALSE)&gt;2,"Alta","n/a"))))</f>
        <v>Baixa</v>
      </c>
    </row>
    <row r="254" spans="1:155" s="2" customFormat="1" ht="11.25" x14ac:dyDescent="0.2">
      <c r="A254" s="4">
        <v>1.37</v>
      </c>
      <c r="B254" s="4">
        <v>1.24</v>
      </c>
      <c r="C254" s="4">
        <v>1.26</v>
      </c>
      <c r="D254" s="4">
        <v>1.41</v>
      </c>
      <c r="E254" s="4">
        <v>1.1100000000000001</v>
      </c>
      <c r="F254" s="4">
        <v>1.1000000000000001</v>
      </c>
      <c r="G254" s="4">
        <v>1.08</v>
      </c>
      <c r="H254" s="4">
        <v>1.02</v>
      </c>
      <c r="I254" s="4">
        <v>1.03</v>
      </c>
      <c r="J254" s="4">
        <v>1.18</v>
      </c>
      <c r="K254" s="4">
        <v>1.25</v>
      </c>
      <c r="L254" s="4">
        <v>1.18</v>
      </c>
      <c r="M254" s="4">
        <v>1.1599999999999999</v>
      </c>
      <c r="N254" s="4">
        <v>1.0900000000000001</v>
      </c>
      <c r="O254" s="4">
        <v>1.1000000000000001</v>
      </c>
      <c r="P254" s="4">
        <v>1.08</v>
      </c>
      <c r="Q254" s="4">
        <v>1.1100000000000001</v>
      </c>
      <c r="R254" s="4">
        <v>1.08</v>
      </c>
      <c r="S254" s="4">
        <v>1.05</v>
      </c>
      <c r="T254" s="4">
        <v>1.0900000000000001</v>
      </c>
      <c r="U254" s="4">
        <v>1.0900000000000001</v>
      </c>
      <c r="V254" s="4">
        <v>1.1000000000000001</v>
      </c>
      <c r="W254" s="4">
        <v>1.05</v>
      </c>
      <c r="X254" s="4">
        <v>1.08</v>
      </c>
      <c r="Y254" s="4">
        <v>1.1000000000000001</v>
      </c>
      <c r="Z254" s="4">
        <v>1.1000000000000001</v>
      </c>
      <c r="AA254" s="4">
        <v>1.1100000000000001</v>
      </c>
      <c r="AB254" s="4">
        <v>1.1299999999999999</v>
      </c>
      <c r="AC254" s="4">
        <v>1.17</v>
      </c>
      <c r="AD254" s="4">
        <v>1.47</v>
      </c>
      <c r="AE254" s="4">
        <v>1.34</v>
      </c>
      <c r="AF254" s="4">
        <v>1.26</v>
      </c>
      <c r="AG254" s="4">
        <v>1.29</v>
      </c>
      <c r="AH254" s="4">
        <v>1.3</v>
      </c>
      <c r="AI254" s="4">
        <v>1.28</v>
      </c>
      <c r="AJ254" s="4">
        <v>1.38</v>
      </c>
      <c r="AK254" s="4">
        <v>1.59</v>
      </c>
      <c r="AL254" s="4">
        <v>1.7</v>
      </c>
      <c r="AM254" s="4">
        <v>1.71</v>
      </c>
      <c r="AN254" s="4">
        <v>1.7</v>
      </c>
      <c r="AO254" s="4">
        <v>1.52</v>
      </c>
      <c r="AP254" s="4">
        <v>1.51</v>
      </c>
      <c r="AQ254" s="4">
        <v>1.42</v>
      </c>
      <c r="AR254" s="4">
        <v>1.39</v>
      </c>
      <c r="AS254" s="4">
        <v>1.38</v>
      </c>
      <c r="AT254" s="4">
        <v>1.41</v>
      </c>
      <c r="AU254" s="4">
        <v>1.405</v>
      </c>
      <c r="AV254" s="4">
        <v>1.4</v>
      </c>
      <c r="AW254" s="4">
        <v>1.39</v>
      </c>
      <c r="AX254" s="4">
        <v>1.39</v>
      </c>
      <c r="AY254" s="12">
        <v>1.45</v>
      </c>
      <c r="AZ254" s="12">
        <v>1.33</v>
      </c>
      <c r="BA254" s="12">
        <v>1.23</v>
      </c>
      <c r="BB254" s="15">
        <v>1.19</v>
      </c>
      <c r="BC254" s="52">
        <v>0.95</v>
      </c>
      <c r="BD254" s="52">
        <v>1.3</v>
      </c>
      <c r="BE254" s="52">
        <v>1.47</v>
      </c>
      <c r="BF254" s="52">
        <v>1.1000000000000001</v>
      </c>
      <c r="BG254" s="67">
        <v>701</v>
      </c>
      <c r="BH254" s="52">
        <v>162.16</v>
      </c>
      <c r="BI254" s="52">
        <v>118</v>
      </c>
      <c r="BJ254" s="52">
        <v>151.31</v>
      </c>
      <c r="BK254" s="52">
        <v>40.380000000000003</v>
      </c>
      <c r="BL254" s="52" cm="1">
        <f t="array" aca="1" ref="BL254" ca="1">_FV(EC254,"Preço")</f>
        <v>40.380000000000003</v>
      </c>
      <c r="BM254" s="69" t="s">
        <v>250</v>
      </c>
      <c r="BN254" s="36" cm="1">
        <f t="array" aca="1" ref="BN254" ca="1">_FV(EC254,"Média de volume",TRUE)</f>
        <v>38622700</v>
      </c>
      <c r="BO254" s="36">
        <v>62166</v>
      </c>
      <c r="BP254" s="36" cm="1">
        <f t="array" aca="1" ref="BP254" ca="1">_FV(EC254,"Volume")</f>
        <v>62166</v>
      </c>
      <c r="BQ254" s="24" cm="1">
        <f t="array" aca="1" ref="BQ254" ca="1">_FV(EC254,"Beta")</f>
        <v>48.945</v>
      </c>
      <c r="BR254" s="71" cm="1">
        <f t="array" aca="1" ref="BR254" ca="1">_FV(EC254,"Variação (%)",TRUE)</f>
        <v>-0.19256100000000001</v>
      </c>
      <c r="BT254" s="17" cm="1">
        <f t="array" aca="1" ref="BT254" ca="1">_FV(EC254,"Baixo")</f>
        <v>38.549999999999997</v>
      </c>
      <c r="BU254" s="17" cm="1">
        <f t="array" aca="1" ref="BU254" ca="1">_FV(EC254,"Alto")</f>
        <v>52.9</v>
      </c>
      <c r="BV254" s="24"/>
      <c r="BW254" s="63">
        <f ca="1">SQRT(22.5*(BL254/VLOOKUP(BM254,Fundamentus!A:U,3,FALSE))*(BL254/VLOOKUP(BM254,Fundamentus!A:U,4,FALSE)))</f>
        <v>3.0867148916690774</v>
      </c>
      <c r="BY254" s="62">
        <f t="shared" ca="1" si="241"/>
        <v>0</v>
      </c>
      <c r="BZ254" s="8"/>
      <c r="CA254" s="61">
        <f t="shared" si="242"/>
        <v>0.95</v>
      </c>
      <c r="CB254" s="61">
        <f t="shared" si="243"/>
        <v>701</v>
      </c>
      <c r="CC254" s="61">
        <f t="shared" si="244"/>
        <v>19.778174603174605</v>
      </c>
      <c r="CD254" s="14"/>
      <c r="CE254" s="35">
        <f t="shared" si="227"/>
        <v>-365.15390557346416</v>
      </c>
      <c r="CF254" s="15">
        <f t="shared" si="245"/>
        <v>101.36100000000442</v>
      </c>
      <c r="CG254" s="35">
        <f t="shared" si="228"/>
        <v>567.87590557347301</v>
      </c>
      <c r="CI254" s="14"/>
      <c r="CJ254" s="17">
        <f t="shared" si="229"/>
        <v>-832.20999999999992</v>
      </c>
      <c r="CK254" s="17">
        <f t="shared" si="230"/>
        <v>-415.62999999999994</v>
      </c>
      <c r="CL254" s="17">
        <f t="shared" si="231"/>
        <v>-132.15999999999997</v>
      </c>
      <c r="CM254" s="38">
        <f t="shared" si="246"/>
        <v>284.42</v>
      </c>
      <c r="CN254" s="17">
        <f t="shared" si="232"/>
        <v>567.89</v>
      </c>
      <c r="CO254" s="17">
        <f t="shared" si="233"/>
        <v>984.47</v>
      </c>
      <c r="CP254" s="17">
        <f t="shared" si="234"/>
        <v>1267.94</v>
      </c>
      <c r="CQ254" s="2" cm="1">
        <f t="array" aca="1" ref="CQ254" ca="1">MAX(_xlfn._xlws.FILTER(CJ254:CP254,CJ254:CP254&lt;BL254))</f>
        <v>-132.15999999999997</v>
      </c>
      <c r="CR254" s="2" cm="1">
        <f t="array" aca="1" ref="CR254" ca="1">MIN(_xlfn._xlws.FILTER($CJ254:$CP254,$CJ254:$CP254&gt;BL254))</f>
        <v>284.42</v>
      </c>
      <c r="CS254" s="16">
        <f t="shared" ca="1" si="248"/>
        <v>-3.1520883777239717</v>
      </c>
      <c r="CT254" s="20">
        <f t="shared" ca="1" si="249"/>
        <v>1.5760441888619858</v>
      </c>
      <c r="CU254" s="20">
        <f t="shared" ca="1" si="250"/>
        <v>1.0506961259079906</v>
      </c>
      <c r="CV254" s="20">
        <f t="shared" ca="1" si="251"/>
        <v>0.63041767554479433</v>
      </c>
      <c r="CW254" s="20">
        <f t="shared" ca="1" si="252"/>
        <v>0.35023204196933017</v>
      </c>
      <c r="CX254" s="20">
        <f t="shared" ca="1" si="253"/>
        <v>0.18541696339552774</v>
      </c>
      <c r="CY254" s="20">
        <f t="shared" ca="1" si="254"/>
        <v>9.5517829627999137E-2</v>
      </c>
      <c r="CZ254" s="20">
        <f t="shared" ca="1" si="255"/>
        <v>4.8493667349599562E-2</v>
      </c>
      <c r="DA254" s="21">
        <f t="shared" ca="1" si="256"/>
        <v>-4.8493667349599562E-2</v>
      </c>
      <c r="DB254" s="21">
        <f t="shared" ca="1" si="257"/>
        <v>-9.5517829627999137E-2</v>
      </c>
      <c r="DC254" s="21">
        <f t="shared" ca="1" si="258"/>
        <v>-0.18541696339552774</v>
      </c>
      <c r="DD254" s="21">
        <f t="shared" ca="1" si="259"/>
        <v>-0.35023204196933017</v>
      </c>
      <c r="DE254" s="21">
        <f t="shared" ca="1" si="260"/>
        <v>-0.63041767554479433</v>
      </c>
      <c r="DF254" s="21">
        <f t="shared" ca="1" si="261"/>
        <v>-1.0506961259079906</v>
      </c>
      <c r="DG254" s="21">
        <f t="shared" ca="1" si="262"/>
        <v>-1.5760441888619858</v>
      </c>
      <c r="DI254" s="16" cm="1">
        <f t="array" aca="1" ref="DI254" ca="1">MAX(_xlfn._xlws.FILTER(CT254:DG254,CT254:DG254&lt;BR254))</f>
        <v>-0.35023204196933017</v>
      </c>
      <c r="DJ254" s="16" cm="1">
        <f t="array" aca="1" ref="DJ254" ca="1">MIN(_xlfn._xlws.FILTER(CT254:DG254,CT254:DG254&gt;BR254))</f>
        <v>-0.18541696339552774</v>
      </c>
      <c r="DK254" s="2" cm="1">
        <f t="array" aca="1" ref="DK254" ca="1">_FV(EC254,"Fechamento anterior",TRUE)</f>
        <v>50.01</v>
      </c>
      <c r="DL254" s="28">
        <f t="shared" ca="1" si="235"/>
        <v>0.95665127020685548</v>
      </c>
      <c r="DM254" s="15">
        <f t="shared" ca="1" si="263"/>
        <v>32.494895581113795</v>
      </c>
      <c r="DN254" s="15">
        <f t="shared" ca="1" si="264"/>
        <v>40.737297660589654</v>
      </c>
      <c r="DO254" s="9"/>
      <c r="DP254" s="9"/>
      <c r="DQ254" s="9"/>
      <c r="DR254" s="89">
        <v>6.2571103526734867E-2</v>
      </c>
      <c r="DS254" s="89" t="e" vm="5">
        <v>#VALUE!</v>
      </c>
      <c r="DT254" s="89">
        <v>4.7024162278399576E-2</v>
      </c>
      <c r="DU254" s="89">
        <v>0.16481507857380243</v>
      </c>
      <c r="DV254" s="89">
        <f t="shared" ca="1" si="236"/>
        <v>0.16481507857380243</v>
      </c>
      <c r="DW254" s="72">
        <f t="shared" ca="1" si="237"/>
        <v>-0.13071608060420462</v>
      </c>
      <c r="DX254" s="37"/>
      <c r="DY254" s="35">
        <f t="shared" si="247"/>
        <v>233.25745278673429</v>
      </c>
      <c r="DZ254" s="56"/>
      <c r="EA254" s="56"/>
      <c r="EC254" s="2" t="e" vm="256">
        <v>#VALUE!</v>
      </c>
      <c r="EE254" s="10" cm="1">
        <f t="array" aca="1" ref="EE254" ca="1">_FV(EC254,"Ações em circulação",TRUE)</f>
        <v>3202277000000</v>
      </c>
      <c r="EF254" s="18">
        <f>VLOOKUP(BM254,Fundamentus!A:U,5,FALSE)</f>
        <v>47.427</v>
      </c>
      <c r="EG254" s="2">
        <f t="shared" ca="1" si="238"/>
        <v>2726462674425.9604</v>
      </c>
      <c r="EH254" s="17">
        <v>-1153293711282.1812</v>
      </c>
      <c r="EI254" s="17">
        <f t="shared" ca="1" si="239"/>
        <v>-1153293711282.1812</v>
      </c>
      <c r="EK254" s="16">
        <f t="shared" ca="1" si="226"/>
        <v>0</v>
      </c>
      <c r="EL254" s="32" t="str">
        <f>IF(VLOOKUP(BM254,Fundamentus!A:U,3,FALSE)&lt;15,"Bom",IF(VLOOKUP(BM254,Fundamentus!A:U,3,FALSE)&gt;15,"Ruim","n/a"))</f>
        <v>Bom</v>
      </c>
      <c r="EM254" s="28" t="str">
        <f>IF(VLOOKUP(BM254,Fundamentus!A:U,4,FALSE)&lt;1,"Baixo",IF(VLOOKUP(BM254,Fundamentus!A:U,4,FALSE)&lt;1.5,"Moderado",IF(VLOOKUP(BM254,Fundamentus!A:U,4,FALSE)&gt;1.5,"Alto","n/a")))</f>
        <v>Baixo</v>
      </c>
      <c r="EN254" s="17" t="str">
        <f>IF(VLOOKUP(BM254,Fundamentus!A:U,8,FALSE)&lt;0,"Risco elevado",IF(VLOOKUP(BM254,Fundamentus!A:U,8,FALSE)&lt;1,"Saudável",IF(VLOOKUP(BM254,Fundamentus!A:U,8,FALSE)&lt;3,"Estável",IF(VLOOKUP(BM254,Fundamentus!A:U,8,FALSE)&gt;3,"Alerta","n/a"))))</f>
        <v>Risco elevado</v>
      </c>
      <c r="EO254" s="28" t="str">
        <f t="shared" si="240"/>
        <v>Bom</v>
      </c>
      <c r="EP254" s="17" t="str">
        <f>IF(VLOOKUP(BM254,Fundamentus!A:U,12,FALSE)&lt;2,"Subvalorizada",IF(VLOOKUP(BM254,Fundamentus!A:U,12,FALSE)&lt;6,"Muita barata",IF(VLOOKUP(BM254,Fundamentus!A:U,12,FALSE)&lt;6,"Barata",IF(VLOOKUP(BM254,Fundamentus!A:U,12,FALSE)&lt;8,"Atrativa",IF(VLOOKUP(BM254,Fundamentus!A:U,12,FALSE)&gt;8,"Supervalorizada","n/a")))))</f>
        <v>Supervalorizada</v>
      </c>
      <c r="ER254" s="17" t="str">
        <f>IF(VLOOKUP(BM254,Fundamentus!A:U,17,FALSE)&lt;0.1,"Fraco retorno",IF(VLOOKUP(BM254,Fundamentus!A:U,17,FALSE)&gt;0.1,"Bom retorno","n/a"))</f>
        <v>Bom retorno</v>
      </c>
      <c r="ES254" s="17" t="str">
        <f>IF(VLOOKUP(BM254,Fundamentus!A:U,16,FALSE)&lt;0.1,"Ineficiente",IF(VLOOKUP(BM254,Fundamentus!A:U,16,FALSE)&gt;0.1,"Eficiente","n/a"))</f>
        <v>Ineficiente</v>
      </c>
      <c r="ET254" s="33" t="str">
        <f>IF(VLOOKUP(BM254,Fundamentus!A:U,16,FALSE)&lt;0.1,"Oper. Ineficiente",IF(VLOOKUP(BM254,Fundamentus!A:U,16,FALSE)&gt;0.1,"Oper.Eficiente","n/a"))</f>
        <v>Oper. Ineficiente</v>
      </c>
      <c r="EU254" s="34">
        <f>VLOOKUP(BM254,Fundamentus!A:U,14,FALSE)</f>
        <v>-0.42299999999999999</v>
      </c>
      <c r="EV254" s="17" t="str">
        <f>IF(VLOOKUP(BM254,Fundamentus!A:U,21,FALSE)&lt;0,"Negativo",IF(VLOOKUP(BM254,Fundamentus!A:U,21,FALSE)&lt;0.05,"Fraco",IF(VLOOKUP(BM254,Fundamentus!A:U,21,FALSE)&lt;0.1,"Bom",IF(VLOOKUP(BM254,Fundamentus!A:U,21,FALSE)&gt;0.1,"Muito bom","n/a"))))</f>
        <v>Muito bom</v>
      </c>
      <c r="EX254" s="29" t="str">
        <f>IF(VLOOKUP(BM254,Fundamentus!A:U,15,FALSE)&gt;1,"Bom",IF(VLOOKUP(BM254,Fundamentus!A:U,15,FALSE)&lt;1,"Ruim","n/a"))</f>
        <v>Ruim</v>
      </c>
      <c r="EY254" s="17" t="str">
        <f>IF(VLOOKUP(BM254,Fundamentus!A:U,20,FALSE)&lt;0.5,"Baixa",IF(VLOOKUP(BM254,Fundamentus!A:U,20,FALSE)&lt;1,"Moderada",IF(VLOOKUP(BM254,Fundamentus!A:U,20,FALSE)&lt;2,"Alerta",IF(VLOOKUP(BM254,Fundamentus!A:U,20,FALSE)&gt;2,"Alta","n/a"))))</f>
        <v>Baixa</v>
      </c>
    </row>
    <row r="255" spans="1:155" s="2" customFormat="1" ht="11.25" x14ac:dyDescent="0.2">
      <c r="A255" s="4">
        <v>5.93</v>
      </c>
      <c r="B255" s="4">
        <v>5.5</v>
      </c>
      <c r="C255" s="4">
        <v>4.8</v>
      </c>
      <c r="D255" s="4">
        <v>4.78</v>
      </c>
      <c r="E255" s="4">
        <v>4.9400000000000004</v>
      </c>
      <c r="F255" s="4">
        <v>4.7699999999999996</v>
      </c>
      <c r="G255" s="4">
        <v>5.26</v>
      </c>
      <c r="H255" s="4">
        <v>5.0999999999999996</v>
      </c>
      <c r="I255" s="4">
        <v>4.8899999999999997</v>
      </c>
      <c r="J255" s="4">
        <v>5.6</v>
      </c>
      <c r="K255" s="4">
        <v>5.54</v>
      </c>
      <c r="L255" s="4">
        <v>5.16</v>
      </c>
      <c r="M255" s="4">
        <v>5.31</v>
      </c>
      <c r="N255" s="4">
        <v>5.27</v>
      </c>
      <c r="O255" s="4">
        <v>5.18</v>
      </c>
      <c r="P255" s="4">
        <v>5.74</v>
      </c>
      <c r="Q255" s="4">
        <v>6.25</v>
      </c>
      <c r="R255" s="4">
        <v>6.45</v>
      </c>
      <c r="S255" s="4">
        <v>6.21</v>
      </c>
      <c r="T255" s="4">
        <v>6.89</v>
      </c>
      <c r="U255" s="4">
        <v>6.26</v>
      </c>
      <c r="V255" s="4">
        <v>6.06</v>
      </c>
      <c r="W255" s="4">
        <v>6.15</v>
      </c>
      <c r="X255" s="4">
        <v>5.78</v>
      </c>
      <c r="Y255" s="4">
        <v>5.66</v>
      </c>
      <c r="Z255" s="4">
        <v>5.93</v>
      </c>
      <c r="AA255" s="4">
        <v>6.87</v>
      </c>
      <c r="AB255" s="4">
        <v>7.13</v>
      </c>
      <c r="AC255" s="4">
        <v>6.6</v>
      </c>
      <c r="AD255" s="4">
        <v>6.9</v>
      </c>
      <c r="AE255" s="4">
        <v>6.15</v>
      </c>
      <c r="AF255" s="4">
        <v>5.77</v>
      </c>
      <c r="AG255" s="4">
        <v>5.15</v>
      </c>
      <c r="AH255" s="4">
        <v>4.5599999999999996</v>
      </c>
      <c r="AI255" s="4">
        <v>4.4800000000000004</v>
      </c>
      <c r="AJ255" s="4">
        <v>4.2699999999999996</v>
      </c>
      <c r="AK255" s="4">
        <v>4.24</v>
      </c>
      <c r="AL255" s="4">
        <v>4.45</v>
      </c>
      <c r="AM255" s="4">
        <v>4.62</v>
      </c>
      <c r="AN255" s="4">
        <v>5.32</v>
      </c>
      <c r="AO255" s="4">
        <v>5.09</v>
      </c>
      <c r="AP255" s="4">
        <v>5.26</v>
      </c>
      <c r="AQ255" s="4">
        <v>4.9000000000000004</v>
      </c>
      <c r="AR255" s="4">
        <v>4.21</v>
      </c>
      <c r="AS255" s="4">
        <v>4.26</v>
      </c>
      <c r="AT255" s="4">
        <v>4.4000000000000004</v>
      </c>
      <c r="AU255" s="4">
        <v>4.7699999999999996</v>
      </c>
      <c r="AV255" s="4">
        <v>4.88</v>
      </c>
      <c r="AW255" s="4">
        <v>5.05</v>
      </c>
      <c r="AX255" s="4">
        <v>5.27</v>
      </c>
      <c r="AY255" s="12">
        <v>5.5</v>
      </c>
      <c r="AZ255" s="12">
        <v>5.93</v>
      </c>
      <c r="BA255" s="12">
        <v>5.99</v>
      </c>
      <c r="BB255" s="15">
        <v>6.69</v>
      </c>
      <c r="BC255" s="52">
        <v>8.5</v>
      </c>
      <c r="BD255" s="52">
        <v>10</v>
      </c>
      <c r="BE255" s="52">
        <v>10.119999999999999</v>
      </c>
      <c r="BF255" s="52">
        <v>9.58</v>
      </c>
      <c r="BG255" s="67">
        <v>10.38</v>
      </c>
      <c r="BH255" s="52">
        <v>10.119999999999999</v>
      </c>
      <c r="BI255" s="52">
        <v>9.01</v>
      </c>
      <c r="BJ255" s="52">
        <v>9.42</v>
      </c>
      <c r="BK255" s="52">
        <v>8.69</v>
      </c>
      <c r="BL255" s="52" cm="1">
        <f t="array" aca="1" ref="BL255" ca="1">_FV(EC255,"Preço")</f>
        <v>8.69</v>
      </c>
      <c r="BM255" s="69" t="s">
        <v>198</v>
      </c>
      <c r="BN255" s="36" cm="1">
        <f t="array" aca="1" ref="BN255" ca="1">_FV(EC255,"Média de volume",TRUE)</f>
        <v>655680</v>
      </c>
      <c r="BO255" s="36">
        <v>535900</v>
      </c>
      <c r="BP255" s="36" cm="1">
        <f t="array" aca="1" ref="BP255" ca="1">_FV(EC255,"Volume")</f>
        <v>535900</v>
      </c>
      <c r="BQ255" s="24" cm="1">
        <f t="array" aca="1" ref="BQ255" ca="1">_FV(EC255,"Beta")</f>
        <v>1.8028999999999999</v>
      </c>
      <c r="BR255" s="71" cm="1">
        <f t="array" aca="1" ref="BR255" ca="1">_FV(EC255,"Variação (%)",TRUE)</f>
        <v>-3.4444000000000002E-2</v>
      </c>
      <c r="BT255" s="17" cm="1">
        <f t="array" aca="1" ref="BT255" ca="1">_FV(EC255,"Baixo")</f>
        <v>8.58</v>
      </c>
      <c r="BU255" s="17" cm="1">
        <f t="array" aca="1" ref="BU255" ca="1">_FV(EC255,"Alto")</f>
        <v>8.99</v>
      </c>
      <c r="BV255" s="24"/>
      <c r="BW255" s="63">
        <f ca="1">SQRT(22.5*(BL255/VLOOKUP(BM255,Fundamentus!A:U,3,FALSE))*(BL255/VLOOKUP(BM255,Fundamentus!A:U,4,FALSE)))</f>
        <v>8.4442102499834846</v>
      </c>
      <c r="BY255" s="62">
        <f t="shared" ca="1" si="241"/>
        <v>0</v>
      </c>
      <c r="BZ255" s="8"/>
      <c r="CA255" s="61">
        <f t="shared" si="242"/>
        <v>4.21</v>
      </c>
      <c r="CB255" s="61">
        <f t="shared" si="243"/>
        <v>10.38</v>
      </c>
      <c r="CC255" s="61">
        <f t="shared" si="244"/>
        <v>6.0307936507936519</v>
      </c>
      <c r="CD255" s="14"/>
      <c r="CE255" s="35">
        <f t="shared" si="227"/>
        <v>7.9437846235060192</v>
      </c>
      <c r="CF255" s="15">
        <f t="shared" si="245"/>
        <v>9.1159999999999854</v>
      </c>
      <c r="CG255" s="35">
        <f t="shared" si="228"/>
        <v>10.288215376493952</v>
      </c>
      <c r="CI255" s="14"/>
      <c r="CJ255" s="17">
        <f t="shared" si="229"/>
        <v>-0.54333333333333744</v>
      </c>
      <c r="CK255" s="17">
        <f t="shared" si="230"/>
        <v>1.8333333333333313</v>
      </c>
      <c r="CL255" s="17">
        <f t="shared" si="231"/>
        <v>5.6266666666666634</v>
      </c>
      <c r="CM255" s="38">
        <f t="shared" si="246"/>
        <v>8.0033333333333321</v>
      </c>
      <c r="CN255" s="17">
        <f t="shared" si="232"/>
        <v>11.796666666666663</v>
      </c>
      <c r="CO255" s="17">
        <f t="shared" si="233"/>
        <v>14.173333333333332</v>
      </c>
      <c r="CP255" s="17">
        <f t="shared" si="234"/>
        <v>17.966666666666665</v>
      </c>
      <c r="CQ255" s="2" cm="1">
        <f t="array" aca="1" ref="CQ255" ca="1">MAX(_xlfn._xlws.FILTER(CJ255:CP255,CJ255:CP255&lt;BL255))</f>
        <v>8.0033333333333321</v>
      </c>
      <c r="CR255" s="2" cm="1">
        <f t="array" aca="1" ref="CR255" ca="1">MIN(_xlfn._xlws.FILTER($CJ255:$CP255,$CJ255:$CP255&gt;BL255))</f>
        <v>11.796666666666663</v>
      </c>
      <c r="CS255" s="16">
        <f t="shared" ca="1" si="248"/>
        <v>0.4739691795085379</v>
      </c>
      <c r="CT255" s="20">
        <f t="shared" ca="1" si="249"/>
        <v>-0.23698458975426895</v>
      </c>
      <c r="CU255" s="20">
        <f t="shared" ca="1" si="250"/>
        <v>-0.15798972650284596</v>
      </c>
      <c r="CV255" s="20">
        <f t="shared" ca="1" si="251"/>
        <v>-9.4793835901707577E-2</v>
      </c>
      <c r="CW255" s="20">
        <f t="shared" ca="1" si="252"/>
        <v>-5.2663242167615323E-2</v>
      </c>
      <c r="CX255" s="20">
        <f t="shared" ca="1" si="253"/>
        <v>-2.7880539971090464E-2</v>
      </c>
      <c r="CY255" s="20">
        <f t="shared" ca="1" si="254"/>
        <v>-1.4362702409349634E-2</v>
      </c>
      <c r="CZ255" s="20">
        <f t="shared" ca="1" si="255"/>
        <v>-7.2918335309005832E-3</v>
      </c>
      <c r="DA255" s="21">
        <f t="shared" ca="1" si="256"/>
        <v>7.2918335309005832E-3</v>
      </c>
      <c r="DB255" s="21">
        <f t="shared" ca="1" si="257"/>
        <v>1.4362702409349634E-2</v>
      </c>
      <c r="DC255" s="21">
        <f t="shared" ca="1" si="258"/>
        <v>2.7880539971090464E-2</v>
      </c>
      <c r="DD255" s="21">
        <f t="shared" ca="1" si="259"/>
        <v>5.2663242167615323E-2</v>
      </c>
      <c r="DE255" s="21">
        <f t="shared" ca="1" si="260"/>
        <v>9.4793835901707577E-2</v>
      </c>
      <c r="DF255" s="21">
        <f t="shared" ca="1" si="261"/>
        <v>0.15798972650284596</v>
      </c>
      <c r="DG255" s="21">
        <f t="shared" ca="1" si="262"/>
        <v>0.23698458975426895</v>
      </c>
      <c r="DI255" s="16" cm="1">
        <f t="array" aca="1" ref="DI255" ca="1">MAX(_xlfn._xlws.FILTER(CT255:DG255,CT255:DG255&lt;BR255))</f>
        <v>-5.2663242167615323E-2</v>
      </c>
      <c r="DJ255" s="16" cm="1">
        <f t="array" aca="1" ref="DJ255" ca="1">MIN(_xlfn._xlws.FILTER(CT255:DG255,CT255:DG255&gt;BR255))</f>
        <v>-2.7880539971090464E-2</v>
      </c>
      <c r="DK255" s="2" cm="1">
        <f t="array" aca="1" ref="DK255" ca="1">_FV(EC255,"Fechamento anterior",TRUE)</f>
        <v>9</v>
      </c>
      <c r="DL255" s="28">
        <f t="shared" ca="1" si="235"/>
        <v>0.73514169595782031</v>
      </c>
      <c r="DM255" s="15">
        <f t="shared" ca="1" si="263"/>
        <v>8.5260308204914619</v>
      </c>
      <c r="DN255" s="15">
        <f t="shared" ca="1" si="264"/>
        <v>8.7490751402601852</v>
      </c>
      <c r="DO255" s="9"/>
      <c r="DP255" s="9"/>
      <c r="DQ255" s="9"/>
      <c r="DR255" s="89">
        <v>1.893526623031188E-2</v>
      </c>
      <c r="DS255" s="89">
        <v>1.4094631918373346E-2</v>
      </c>
      <c r="DT255" s="89">
        <v>7.0708688784490506E-3</v>
      </c>
      <c r="DU255" s="89">
        <v>2.4782702196524859E-2</v>
      </c>
      <c r="DV255" s="89">
        <f t="shared" ca="1" si="236"/>
        <v>2.4782702196524859E-2</v>
      </c>
      <c r="DW255" s="72">
        <f t="shared" ca="1" si="237"/>
        <v>-0.36341444459987315</v>
      </c>
      <c r="DX255" s="37"/>
      <c r="DY255" s="35">
        <f t="shared" si="247"/>
        <v>0.58610768824698289</v>
      </c>
      <c r="DZ255" s="56"/>
      <c r="EA255" s="56"/>
      <c r="EC255" s="2" t="e" vm="257">
        <v>#VALUE!</v>
      </c>
      <c r="EE255" s="10" cm="1">
        <f t="array" aca="1" ref="EE255" ca="1">_FV(EC255,"Ações em circulação",TRUE)</f>
        <v>128721600</v>
      </c>
      <c r="EF255" s="18">
        <f>VLOOKUP(BM255,Fundamentus!A:U,5,FALSE)</f>
        <v>0.64500000000000002</v>
      </c>
      <c r="EG255" s="2">
        <f t="shared" ca="1" si="238"/>
        <v>1734249153.4883721</v>
      </c>
      <c r="EH255" s="17">
        <v>50293225.451162793</v>
      </c>
      <c r="EI255" s="17">
        <f t="shared" ca="1" si="239"/>
        <v>50293225.451162793</v>
      </c>
      <c r="EK255" s="16">
        <f t="shared" ca="1" si="226"/>
        <v>0</v>
      </c>
      <c r="EL255" s="32" t="str">
        <f>IF(VLOOKUP(BM255,Fundamentus!A:U,3,FALSE)&lt;15,"Bom",IF(VLOOKUP(BM255,Fundamentus!A:U,3,FALSE)&gt;15,"Ruim","n/a"))</f>
        <v>Ruim</v>
      </c>
      <c r="EM255" s="28" t="str">
        <f>IF(VLOOKUP(BM255,Fundamentus!A:U,4,FALSE)&lt;1,"Baixo",IF(VLOOKUP(BM255,Fundamentus!A:U,4,FALSE)&lt;1.5,"Moderado",IF(VLOOKUP(BM255,Fundamentus!A:U,4,FALSE)&gt;1.5,"Alto","n/a")))</f>
        <v>Moderado</v>
      </c>
      <c r="EN255" s="17" t="str">
        <f>IF(VLOOKUP(BM255,Fundamentus!A:U,8,FALSE)&lt;0,"Risco elevado",IF(VLOOKUP(BM255,Fundamentus!A:U,8,FALSE)&lt;1,"Saudável",IF(VLOOKUP(BM255,Fundamentus!A:U,8,FALSE)&lt;3,"Estável",IF(VLOOKUP(BM255,Fundamentus!A:U,8,FALSE)&gt;3,"Alerta","n/a"))))</f>
        <v>Alerta</v>
      </c>
      <c r="EO255" s="28" t="str">
        <f t="shared" si="240"/>
        <v>Ruim</v>
      </c>
      <c r="EP255" s="17" t="str">
        <f>IF(VLOOKUP(BM255,Fundamentus!A:U,12,FALSE)&lt;2,"Subvalorizada",IF(VLOOKUP(BM255,Fundamentus!A:U,12,FALSE)&lt;6,"Muita barata",IF(VLOOKUP(BM255,Fundamentus!A:U,12,FALSE)&lt;6,"Barata",IF(VLOOKUP(BM255,Fundamentus!A:U,12,FALSE)&lt;8,"Atrativa",IF(VLOOKUP(BM255,Fundamentus!A:U,12,FALSE)&gt;8,"Supervalorizada","n/a")))))</f>
        <v>Muita barata</v>
      </c>
      <c r="ER255" s="17" t="str">
        <f>IF(VLOOKUP(BM255,Fundamentus!A:U,17,FALSE)&lt;0.1,"Fraco retorno",IF(VLOOKUP(BM255,Fundamentus!A:U,17,FALSE)&gt;0.1,"Bom retorno","n/a"))</f>
        <v>Fraco retorno</v>
      </c>
      <c r="ES255" s="17" t="str">
        <f>IF(VLOOKUP(BM255,Fundamentus!A:U,16,FALSE)&lt;0.1,"Ineficiente",IF(VLOOKUP(BM255,Fundamentus!A:U,16,FALSE)&gt;0.1,"Eficiente","n/a"))</f>
        <v>Eficiente</v>
      </c>
      <c r="ET255" s="33" t="str">
        <f>IF(VLOOKUP(BM255,Fundamentus!A:U,16,FALSE)&lt;0.1,"Oper. Ineficiente",IF(VLOOKUP(BM255,Fundamentus!A:U,16,FALSE)&gt;0.1,"Oper.Eficiente","n/a"))</f>
        <v>Oper.Eficiente</v>
      </c>
      <c r="EU255" s="34">
        <f>VLOOKUP(BM255,Fundamentus!A:U,14,FALSE)</f>
        <v>2.9000000000000001E-2</v>
      </c>
      <c r="EV255" s="17" t="str">
        <f>IF(VLOOKUP(BM255,Fundamentus!A:U,21,FALSE)&lt;0,"Negativo",IF(VLOOKUP(BM255,Fundamentus!A:U,21,FALSE)&lt;0.05,"Fraco",IF(VLOOKUP(BM255,Fundamentus!A:U,21,FALSE)&lt;0.1,"Bom",IF(VLOOKUP(BM255,Fundamentus!A:U,21,FALSE)&gt;0.1,"Muito bom","n/a"))))</f>
        <v>Muito bom</v>
      </c>
      <c r="EX255" s="29" t="str">
        <f>IF(VLOOKUP(BM255,Fundamentus!A:U,15,FALSE)&gt;1,"Bom",IF(VLOOKUP(BM255,Fundamentus!A:U,15,FALSE)&lt;1,"Ruim","n/a"))</f>
        <v>Bom</v>
      </c>
      <c r="EY255" s="17" t="str">
        <f>IF(VLOOKUP(BM255,Fundamentus!A:U,20,FALSE)&lt;0.5,"Baixa",IF(VLOOKUP(BM255,Fundamentus!A:U,20,FALSE)&lt;1,"Moderada",IF(VLOOKUP(BM255,Fundamentus!A:U,20,FALSE)&lt;2,"Alerta",IF(VLOOKUP(BM255,Fundamentus!A:U,20,FALSE)&gt;2,"Alta","n/a"))))</f>
        <v>Moderada</v>
      </c>
    </row>
    <row r="256" spans="1:155" s="2" customFormat="1" ht="11.25" x14ac:dyDescent="0.2">
      <c r="A256" s="4">
        <v>8.23</v>
      </c>
      <c r="B256" s="4">
        <v>8.07</v>
      </c>
      <c r="C256" s="4">
        <v>8</v>
      </c>
      <c r="D256" s="4">
        <v>8.26</v>
      </c>
      <c r="E256" s="4">
        <v>7.95</v>
      </c>
      <c r="F256" s="4">
        <v>7.78</v>
      </c>
      <c r="G256" s="4">
        <v>7.67</v>
      </c>
      <c r="H256" s="4">
        <v>7.82</v>
      </c>
      <c r="I256" s="4">
        <v>8.07</v>
      </c>
      <c r="J256" s="4">
        <v>8.6199999999999992</v>
      </c>
      <c r="K256" s="4">
        <v>8.9</v>
      </c>
      <c r="L256" s="4">
        <v>8.6199999999999992</v>
      </c>
      <c r="M256" s="4">
        <v>8.2200000000000006</v>
      </c>
      <c r="N256" s="4">
        <v>7.99</v>
      </c>
      <c r="O256" s="4">
        <v>8.01</v>
      </c>
      <c r="P256" s="4">
        <v>8.25</v>
      </c>
      <c r="Q256" s="4">
        <v>8.35</v>
      </c>
      <c r="R256" s="4">
        <v>8.15</v>
      </c>
      <c r="S256" s="4">
        <v>7.82</v>
      </c>
      <c r="T256" s="4">
        <v>7.96</v>
      </c>
      <c r="U256" s="4">
        <v>7.72</v>
      </c>
      <c r="V256" s="4">
        <v>7.68</v>
      </c>
      <c r="W256" s="4">
        <v>7.88</v>
      </c>
      <c r="X256" s="4">
        <v>7.66</v>
      </c>
      <c r="Y256" s="4">
        <v>7.53</v>
      </c>
      <c r="Z256" s="4">
        <v>7.46</v>
      </c>
      <c r="AA256" s="4">
        <v>7.35</v>
      </c>
      <c r="AB256" s="4">
        <v>7.7</v>
      </c>
      <c r="AC256" s="4">
        <v>7.57</v>
      </c>
      <c r="AD256" s="4">
        <v>7.93</v>
      </c>
      <c r="AE256" s="4">
        <v>7.8</v>
      </c>
      <c r="AF256" s="4">
        <v>7.58</v>
      </c>
      <c r="AG256" s="4">
        <v>8.1</v>
      </c>
      <c r="AH256" s="4">
        <v>8.0500000000000007</v>
      </c>
      <c r="AI256" s="4">
        <v>8.08</v>
      </c>
      <c r="AJ256" s="4">
        <v>7.58</v>
      </c>
      <c r="AK256" s="4">
        <v>7.53</v>
      </c>
      <c r="AL256" s="4">
        <v>7.68</v>
      </c>
      <c r="AM256" s="4">
        <v>7.75</v>
      </c>
      <c r="AN256" s="4">
        <v>7.79</v>
      </c>
      <c r="AO256" s="4">
        <v>7.61</v>
      </c>
      <c r="AP256" s="4">
        <v>7.85</v>
      </c>
      <c r="AQ256" s="4">
        <v>7.74</v>
      </c>
      <c r="AR256" s="4">
        <v>7.46</v>
      </c>
      <c r="AS256" s="4">
        <v>7.71</v>
      </c>
      <c r="AT256" s="4">
        <v>7.8</v>
      </c>
      <c r="AU256" s="4">
        <v>7.7</v>
      </c>
      <c r="AV256" s="4">
        <v>7.36</v>
      </c>
      <c r="AW256" s="4">
        <v>7.02</v>
      </c>
      <c r="AX256" s="4">
        <v>7.09</v>
      </c>
      <c r="AY256" s="12">
        <v>7.21</v>
      </c>
      <c r="AZ256" s="12">
        <v>7.26</v>
      </c>
      <c r="BA256" s="12">
        <v>7.25</v>
      </c>
      <c r="BB256" s="15">
        <v>7.15</v>
      </c>
      <c r="BC256" s="52">
        <v>7.08</v>
      </c>
      <c r="BD256" s="52">
        <v>6.92</v>
      </c>
      <c r="BE256" s="52">
        <v>7.02</v>
      </c>
      <c r="BF256" s="52">
        <v>7.06</v>
      </c>
      <c r="BG256" s="67">
        <v>7.02</v>
      </c>
      <c r="BH256" s="52">
        <v>6.79</v>
      </c>
      <c r="BI256" s="52">
        <v>6.8</v>
      </c>
      <c r="BJ256" s="52">
        <v>6.94</v>
      </c>
      <c r="BK256" s="52">
        <v>6.83</v>
      </c>
      <c r="BL256" s="52" cm="1">
        <f t="array" aca="1" ref="BL256" ca="1">_FV(EC256,"Preço")</f>
        <v>6.83</v>
      </c>
      <c r="BM256" s="69" t="s">
        <v>252</v>
      </c>
      <c r="BN256" s="36" cm="1">
        <f t="array" aca="1" ref="BN256" ca="1">_FV(EC256,"Média de volume",TRUE)</f>
        <v>535990</v>
      </c>
      <c r="BO256" s="36">
        <v>473200</v>
      </c>
      <c r="BP256" s="36" cm="1">
        <f t="array" aca="1" ref="BP256" ca="1">_FV(EC256,"Volume")</f>
        <v>473200</v>
      </c>
      <c r="BQ256" s="24" cm="1">
        <f t="array" aca="1" ref="BQ256" ca="1">_FV(EC256,"Beta")</f>
        <v>0.3427</v>
      </c>
      <c r="BR256" s="71" cm="1">
        <f t="array" aca="1" ref="BR256" ca="1">_FV(EC256,"Variação (%)",TRUE)</f>
        <v>2.9370000000000004E-3</v>
      </c>
      <c r="BT256" s="17" cm="1">
        <f t="array" aca="1" ref="BT256" ca="1">_FV(EC256,"Baixo")</f>
        <v>6.78</v>
      </c>
      <c r="BU256" s="17" cm="1">
        <f t="array" aca="1" ref="BU256" ca="1">_FV(EC256,"Alto")</f>
        <v>6.86</v>
      </c>
      <c r="BV256" s="24"/>
      <c r="BW256" s="63">
        <f ca="1">SQRT(22.5*(BL256/VLOOKUP(BM256,Fundamentus!A:U,3,FALSE))*(BL256/VLOOKUP(BM256,Fundamentus!A:U,4,FALSE)))</f>
        <v>13.331980114050223</v>
      </c>
      <c r="BY256" s="62">
        <f t="shared" ca="1" si="241"/>
        <v>0</v>
      </c>
      <c r="BZ256" s="8"/>
      <c r="CA256" s="61">
        <f t="shared" si="242"/>
        <v>6.79</v>
      </c>
      <c r="CB256" s="61">
        <f t="shared" si="243"/>
        <v>8.9</v>
      </c>
      <c r="CC256" s="61">
        <f t="shared" si="244"/>
        <v>7.679841269841269</v>
      </c>
      <c r="CD256" s="14"/>
      <c r="CE256" s="35">
        <f t="shared" si="227"/>
        <v>6.6395625254189143</v>
      </c>
      <c r="CF256" s="15">
        <f t="shared" si="245"/>
        <v>6.8530000000000086</v>
      </c>
      <c r="CG256" s="35">
        <f t="shared" si="228"/>
        <v>7.0664374745811029</v>
      </c>
      <c r="CI256" s="14"/>
      <c r="CJ256" s="17">
        <f t="shared" si="229"/>
        <v>4.0766666666666671</v>
      </c>
      <c r="CK256" s="17">
        <f t="shared" si="230"/>
        <v>5.4333333333333336</v>
      </c>
      <c r="CL256" s="17">
        <f t="shared" si="231"/>
        <v>6.1866666666666674</v>
      </c>
      <c r="CM256" s="38">
        <f t="shared" si="246"/>
        <v>7.5433333333333339</v>
      </c>
      <c r="CN256" s="17">
        <f t="shared" si="232"/>
        <v>8.2966666666666669</v>
      </c>
      <c r="CO256" s="17">
        <f t="shared" si="233"/>
        <v>9.6533333333333342</v>
      </c>
      <c r="CP256" s="17">
        <f t="shared" si="234"/>
        <v>10.406666666666668</v>
      </c>
      <c r="CQ256" s="2" cm="1">
        <f t="array" aca="1" ref="CQ256" ca="1">MAX(_xlfn._xlws.FILTER(CJ256:CP256,CJ256:CP256&lt;BL256))</f>
        <v>6.1866666666666674</v>
      </c>
      <c r="CR256" s="2" cm="1">
        <f t="array" aca="1" ref="CR256" ca="1">MIN(_xlfn._xlws.FILTER($CJ256:$CP256,$CJ256:$CP256&gt;BL256))</f>
        <v>7.5433333333333339</v>
      </c>
      <c r="CS256" s="16">
        <f t="shared" ref="CS256:CS261" ca="1" si="265">(CR256/CQ256)-1</f>
        <v>0.21928879310344818</v>
      </c>
      <c r="CT256" s="20">
        <f t="shared" ref="CT256:CT261" ca="1" si="266">-$CS256/2</f>
        <v>-0.10964439655172409</v>
      </c>
      <c r="CU256" s="20">
        <f t="shared" ref="CU256:CU261" ca="1" si="267">-$CS256/3</f>
        <v>-7.3096264367816063E-2</v>
      </c>
      <c r="CV256" s="20">
        <f t="shared" ref="CV256:CV261" ca="1" si="268">-$CS256/5</f>
        <v>-4.3857758620689635E-2</v>
      </c>
      <c r="CW256" s="20">
        <f t="shared" ref="CW256:CW261" ca="1" si="269">-$CS256/9</f>
        <v>-2.4365421455938688E-2</v>
      </c>
      <c r="CX256" s="20">
        <f t="shared" ref="CX256:CX263" ca="1" si="270">-$CS256/17</f>
        <v>-1.2899340770791069E-2</v>
      </c>
      <c r="CY256" s="20">
        <f t="shared" ref="CY256:CY263" ca="1" si="271">-$CS256/33</f>
        <v>-6.6451149425287327E-3</v>
      </c>
      <c r="CZ256" s="20">
        <f t="shared" ref="CZ256:CZ263" ca="1" si="272">-$CS256/65</f>
        <v>-3.373673740053049E-3</v>
      </c>
      <c r="DA256" s="21">
        <f t="shared" ref="DA256:DA263" ca="1" si="273">-$CS256/65*-1</f>
        <v>3.373673740053049E-3</v>
      </c>
      <c r="DB256" s="21">
        <f t="shared" ref="DB256:DB263" ca="1" si="274">-$CS256/33*-1</f>
        <v>6.6451149425287327E-3</v>
      </c>
      <c r="DC256" s="21">
        <f t="shared" ref="DC256:DC263" ca="1" si="275">-$CS256/17*-1</f>
        <v>1.2899340770791069E-2</v>
      </c>
      <c r="DD256" s="21">
        <f t="shared" ref="DD256:DD261" ca="1" si="276">-$CS256/9*-1</f>
        <v>2.4365421455938688E-2</v>
      </c>
      <c r="DE256" s="21">
        <f t="shared" ref="DE256:DE261" ca="1" si="277">-$CS256/5*-1</f>
        <v>4.3857758620689635E-2</v>
      </c>
      <c r="DF256" s="21">
        <f t="shared" ref="DF256:DF261" ca="1" si="278">-$CS256/3*-1</f>
        <v>7.3096264367816063E-2</v>
      </c>
      <c r="DG256" s="21">
        <f t="shared" ref="DG256:DG261" ca="1" si="279">-$CS256/2*-1</f>
        <v>0.10964439655172409</v>
      </c>
      <c r="DI256" s="16" cm="1">
        <f t="array" aca="1" ref="DI256" ca="1">MAX(_xlfn._xlws.FILTER(CT256:DG256,CT256:DG256&lt;BR256))</f>
        <v>-3.373673740053049E-3</v>
      </c>
      <c r="DJ256" s="16" cm="1">
        <f t="array" aca="1" ref="DJ256" ca="1">MIN(_xlfn._xlws.FILTER(CT256:DG256,CT256:DG256&gt;BR256))</f>
        <v>3.373673740053049E-3</v>
      </c>
      <c r="DK256" s="2" cm="1">
        <f t="array" aca="1" ref="DK256" ca="1">_FV(EC256,"Fechamento anterior",TRUE)</f>
        <v>6.81</v>
      </c>
      <c r="DL256" s="28">
        <f t="shared" ca="1" si="235"/>
        <v>0.93526105200114606</v>
      </c>
      <c r="DM256" s="15">
        <f t="shared" ref="DM256:DM260" ca="1" si="280">DK256+(DK256*DI256)</f>
        <v>6.7870252818302381</v>
      </c>
      <c r="DN256" s="15">
        <f t="shared" ref="DN256:DN260" ca="1" si="281">DK256+(DK256*DJ256)</f>
        <v>6.8329747181697611</v>
      </c>
      <c r="DO256" s="9"/>
      <c r="DP256" s="9"/>
      <c r="DQ256" s="9"/>
      <c r="DR256" s="89">
        <v>2.7101924396236948E-3</v>
      </c>
      <c r="DS256" s="89">
        <v>6.2575990921617955E-3</v>
      </c>
      <c r="DT256" s="89">
        <v>6.2542258282623359E-3</v>
      </c>
      <c r="DU256" s="89">
        <v>6.747347480106098E-3</v>
      </c>
      <c r="DV256" s="89">
        <f t="shared" ca="1" si="236"/>
        <v>6.747347480106098E-3</v>
      </c>
      <c r="DW256" s="72">
        <f t="shared" ca="1" si="237"/>
        <v>-0.10775989570317866</v>
      </c>
      <c r="DX256" s="37"/>
      <c r="DY256" s="35">
        <f t="shared" si="247"/>
        <v>0.10671873729054734</v>
      </c>
      <c r="DZ256" s="56"/>
      <c r="EA256" s="56"/>
      <c r="EC256" s="2" t="e" vm="258">
        <v>#VALUE!</v>
      </c>
      <c r="EE256" s="10" cm="1">
        <f t="array" aca="1" ref="EE256" ca="1">_FV(EC256,"Ações em circulação",TRUE)</f>
        <v>353175000</v>
      </c>
      <c r="EF256" s="18">
        <f>VLOOKUP(BM256,Fundamentus!A:U,5,FALSE)</f>
        <v>1.089</v>
      </c>
      <c r="EG256" s="2">
        <f t="shared" ca="1" si="238"/>
        <v>2215046143.2506886</v>
      </c>
      <c r="EH256" s="17">
        <v>302353798.55371898</v>
      </c>
      <c r="EI256" s="17">
        <f t="shared" ca="1" si="239"/>
        <v>302353798.55371898</v>
      </c>
      <c r="EK256" s="16">
        <f t="shared" ca="1" si="226"/>
        <v>0</v>
      </c>
      <c r="EL256" s="32" t="str">
        <f>IF(VLOOKUP(BM256,Fundamentus!A:U,3,FALSE)&lt;15,"Bom",IF(VLOOKUP(BM256,Fundamentus!A:U,3,FALSE)&gt;15,"Ruim","n/a"))</f>
        <v>Bom</v>
      </c>
      <c r="EM256" s="28" t="str">
        <f>IF(VLOOKUP(BM256,Fundamentus!A:U,4,FALSE)&lt;1,"Baixo",IF(VLOOKUP(BM256,Fundamentus!A:U,4,FALSE)&lt;1.5,"Moderado",IF(VLOOKUP(BM256,Fundamentus!A:U,4,FALSE)&gt;1.5,"Alto","n/a")))</f>
        <v>Baixo</v>
      </c>
      <c r="EN256" s="17" t="str">
        <f>IF(VLOOKUP(BM256,Fundamentus!A:U,8,FALSE)&lt;0,"Risco elevado",IF(VLOOKUP(BM256,Fundamentus!A:U,8,FALSE)&lt;1,"Saudável",IF(VLOOKUP(BM256,Fundamentus!A:U,8,FALSE)&lt;3,"Estável",IF(VLOOKUP(BM256,Fundamentus!A:U,8,FALSE)&gt;3,"Alerta","n/a"))))</f>
        <v>Estável</v>
      </c>
      <c r="EO256" s="28" t="str">
        <f t="shared" si="240"/>
        <v>Bom</v>
      </c>
      <c r="EP256" s="17" t="str">
        <f>IF(VLOOKUP(BM256,Fundamentus!A:U,12,FALSE)&lt;2,"Subvalorizada",IF(VLOOKUP(BM256,Fundamentus!A:U,12,FALSE)&lt;6,"Muita barata",IF(VLOOKUP(BM256,Fundamentus!A:U,12,FALSE)&lt;6,"Barata",IF(VLOOKUP(BM256,Fundamentus!A:U,12,FALSE)&lt;8,"Atrativa",IF(VLOOKUP(BM256,Fundamentus!A:U,12,FALSE)&gt;8,"Supervalorizada","n/a")))))</f>
        <v>Muita barata</v>
      </c>
      <c r="ER256" s="17" t="str">
        <f>IF(VLOOKUP(BM256,Fundamentus!A:U,17,FALSE)&lt;0.1,"Fraco retorno",IF(VLOOKUP(BM256,Fundamentus!A:U,17,FALSE)&gt;0.1,"Bom retorno","n/a"))</f>
        <v>Fraco retorno</v>
      </c>
      <c r="ES256" s="17" t="str">
        <f>IF(VLOOKUP(BM256,Fundamentus!A:U,16,FALSE)&lt;0.1,"Ineficiente",IF(VLOOKUP(BM256,Fundamentus!A:U,16,FALSE)&gt;0.1,"Eficiente","n/a"))</f>
        <v>Ineficiente</v>
      </c>
      <c r="ET256" s="33" t="str">
        <f>IF(VLOOKUP(BM256,Fundamentus!A:U,16,FALSE)&lt;0.1,"Oper. Ineficiente",IF(VLOOKUP(BM256,Fundamentus!A:U,16,FALSE)&gt;0.1,"Oper.Eficiente","n/a"))</f>
        <v>Oper. Ineficiente</v>
      </c>
      <c r="EU256" s="34">
        <f>VLOOKUP(BM256,Fundamentus!A:U,14,FALSE)</f>
        <v>0.13650000000000001</v>
      </c>
      <c r="EV256" s="17" t="str">
        <f>IF(VLOOKUP(BM256,Fundamentus!A:U,21,FALSE)&lt;0,"Negativo",IF(VLOOKUP(BM256,Fundamentus!A:U,21,FALSE)&lt;0.05,"Fraco",IF(VLOOKUP(BM256,Fundamentus!A:U,21,FALSE)&lt;0.1,"Bom",IF(VLOOKUP(BM256,Fundamentus!A:U,21,FALSE)&gt;0.1,"Muito bom","n/a"))))</f>
        <v>Fraco</v>
      </c>
      <c r="EX256" s="29" t="str">
        <f>IF(VLOOKUP(BM256,Fundamentus!A:U,15,FALSE)&gt;1,"Bom",IF(VLOOKUP(BM256,Fundamentus!A:U,15,FALSE)&lt;1,"Ruim","n/a"))</f>
        <v>Bom</v>
      </c>
      <c r="EY256" s="17" t="str">
        <f>IF(VLOOKUP(BM256,Fundamentus!A:U,20,FALSE)&lt;0.5,"Baixa",IF(VLOOKUP(BM256,Fundamentus!A:U,20,FALSE)&lt;1,"Moderada",IF(VLOOKUP(BM256,Fundamentus!A:U,20,FALSE)&lt;2,"Alerta",IF(VLOOKUP(BM256,Fundamentus!A:U,20,FALSE)&gt;2,"Alta","n/a"))))</f>
        <v>Baixa</v>
      </c>
    </row>
    <row r="257" spans="1:155" s="2" customFormat="1" ht="11.25" x14ac:dyDescent="0.2">
      <c r="A257" s="4">
        <v>4.5999999999999996</v>
      </c>
      <c r="B257" s="4">
        <v>4.82</v>
      </c>
      <c r="C257" s="4">
        <v>5.27</v>
      </c>
      <c r="D257" s="4">
        <v>4.72</v>
      </c>
      <c r="E257" s="4">
        <v>4.3099999999999996</v>
      </c>
      <c r="F257" s="4">
        <v>4.13</v>
      </c>
      <c r="G257" s="4">
        <v>3.97</v>
      </c>
      <c r="H257" s="4">
        <v>3.82</v>
      </c>
      <c r="I257" s="4">
        <v>3.71</v>
      </c>
      <c r="J257" s="4">
        <v>4.1500000000000004</v>
      </c>
      <c r="K257" s="4">
        <v>4.4400000000000004</v>
      </c>
      <c r="L257" s="4">
        <v>4.09</v>
      </c>
      <c r="M257" s="4">
        <v>4.07</v>
      </c>
      <c r="N257" s="4">
        <v>4.07</v>
      </c>
      <c r="O257" s="4">
        <v>4.38</v>
      </c>
      <c r="P257" s="4">
        <v>3.96</v>
      </c>
      <c r="Q257" s="4">
        <v>4.4400000000000004</v>
      </c>
      <c r="R257" s="4">
        <v>4.25</v>
      </c>
      <c r="S257" s="4">
        <v>4.3</v>
      </c>
      <c r="T257" s="4">
        <v>4.1399999999999997</v>
      </c>
      <c r="U257" s="4">
        <v>3.78</v>
      </c>
      <c r="V257" s="4">
        <v>3.4</v>
      </c>
      <c r="W257" s="4">
        <v>3.08</v>
      </c>
      <c r="X257" s="4">
        <v>2.89</v>
      </c>
      <c r="Y257" s="4">
        <v>2.82</v>
      </c>
      <c r="Z257" s="4">
        <v>2.84</v>
      </c>
      <c r="AA257" s="4">
        <v>2.74</v>
      </c>
      <c r="AB257" s="4">
        <v>2.78</v>
      </c>
      <c r="AC257" s="4">
        <v>2.77</v>
      </c>
      <c r="AD257" s="4">
        <v>2.81</v>
      </c>
      <c r="AE257" s="4">
        <v>2.6</v>
      </c>
      <c r="AF257" s="4">
        <v>2.56</v>
      </c>
      <c r="AG257" s="4">
        <v>2.5499999999999998</v>
      </c>
      <c r="AH257" s="4">
        <v>2.2999999999999998</v>
      </c>
      <c r="AI257" s="4">
        <v>2.2000000000000002</v>
      </c>
      <c r="AJ257" s="4">
        <v>2.0699999999999998</v>
      </c>
      <c r="AK257" s="4">
        <v>2.06</v>
      </c>
      <c r="AL257" s="4">
        <v>2.09</v>
      </c>
      <c r="AM257" s="4">
        <v>2.15</v>
      </c>
      <c r="AN257" s="4">
        <v>2.3199999999999998</v>
      </c>
      <c r="AO257" s="4">
        <v>2.23</v>
      </c>
      <c r="AP257" s="4">
        <v>2.25</v>
      </c>
      <c r="AQ257" s="4">
        <v>2.23</v>
      </c>
      <c r="AR257" s="4">
        <v>2.16</v>
      </c>
      <c r="AS257" s="4">
        <v>2.1800000000000002</v>
      </c>
      <c r="AT257" s="4">
        <v>2.33</v>
      </c>
      <c r="AU257" s="4">
        <v>2.3149999999999999</v>
      </c>
      <c r="AV257" s="4">
        <v>2.95</v>
      </c>
      <c r="AW257" s="4">
        <v>2.84</v>
      </c>
      <c r="AX257" s="4">
        <v>2.58</v>
      </c>
      <c r="AY257" s="12">
        <v>2.68</v>
      </c>
      <c r="AZ257" s="12">
        <v>2.87</v>
      </c>
      <c r="BA257" s="12">
        <v>2.76</v>
      </c>
      <c r="BB257" s="15">
        <v>2.75</v>
      </c>
      <c r="BC257" s="52">
        <v>3.02</v>
      </c>
      <c r="BD257" s="52">
        <v>3.08</v>
      </c>
      <c r="BE257" s="52">
        <v>2.88</v>
      </c>
      <c r="BF257" s="52">
        <v>2.71</v>
      </c>
      <c r="BG257" s="67">
        <v>2.5099999999999998</v>
      </c>
      <c r="BH257" s="52">
        <v>2.5299999999999998</v>
      </c>
      <c r="BI257" s="52">
        <v>2.54</v>
      </c>
      <c r="BJ257" s="52">
        <v>2.6</v>
      </c>
      <c r="BK257" s="52">
        <v>2.39</v>
      </c>
      <c r="BL257" s="52" cm="1">
        <f t="array" aca="1" ref="BL257" ca="1">_FV(EC257,"Preço")</f>
        <v>2.39</v>
      </c>
      <c r="BM257" s="69" t="s">
        <v>253</v>
      </c>
      <c r="BN257" s="36" cm="1">
        <f t="array" aca="1" ref="BN257" ca="1">_FV(EC257,"Média de volume",TRUE)</f>
        <v>1936970</v>
      </c>
      <c r="BO257" s="36">
        <v>1972100</v>
      </c>
      <c r="BP257" s="36" cm="1">
        <f t="array" aca="1" ref="BP257" ca="1">_FV(EC257,"Volume")</f>
        <v>1972100</v>
      </c>
      <c r="BQ257" s="24" cm="1">
        <f t="array" aca="1" ref="BQ257" ca="1">_FV(EC257,"Beta")</f>
        <v>1.8149</v>
      </c>
      <c r="BR257" s="71" cm="1">
        <f t="array" aca="1" ref="BR257" ca="1">_FV(EC257,"Variação (%)",TRUE)</f>
        <v>-1.6461E-2</v>
      </c>
      <c r="BT257" s="17" cm="1">
        <f t="array" aca="1" ref="BT257" ca="1">_FV(EC257,"Baixo")</f>
        <v>2.31</v>
      </c>
      <c r="BU257" s="17" cm="1">
        <f t="array" aca="1" ref="BU257" ca="1">_FV(EC257,"Alto")</f>
        <v>2.44</v>
      </c>
      <c r="BV257" s="24"/>
      <c r="BW257" s="63" t="e">
        <f ca="1">SQRT(22.5*(BL257/VLOOKUP(BM257,Fundamentus!A:U,3,FALSE))*(BL257/VLOOKUP(BM257,Fundamentus!A:U,4,FALSE)))</f>
        <v>#NUM!</v>
      </c>
      <c r="BY257" s="62">
        <f t="shared" ca="1" si="241"/>
        <v>0</v>
      </c>
      <c r="BZ257" s="8"/>
      <c r="CA257" s="61">
        <f t="shared" si="242"/>
        <v>2.06</v>
      </c>
      <c r="CB257" s="61">
        <f t="shared" si="243"/>
        <v>5.27</v>
      </c>
      <c r="CC257" s="61">
        <f t="shared" si="244"/>
        <v>3.1402380952380944</v>
      </c>
      <c r="CD257" s="14"/>
      <c r="CE257" s="35">
        <f t="shared" si="227"/>
        <v>2.3042422360693062</v>
      </c>
      <c r="CF257" s="15">
        <f t="shared" si="245"/>
        <v>2.4969999999999857</v>
      </c>
      <c r="CG257" s="35">
        <f t="shared" si="228"/>
        <v>2.6897577639306651</v>
      </c>
      <c r="CI257" s="14"/>
      <c r="CJ257" s="17">
        <f t="shared" si="229"/>
        <v>-1.859999999999999</v>
      </c>
      <c r="CK257" s="17">
        <f t="shared" si="230"/>
        <v>0.10000000000000053</v>
      </c>
      <c r="CL257" s="17">
        <f t="shared" si="231"/>
        <v>1.3500000000000005</v>
      </c>
      <c r="CM257" s="38">
        <f t="shared" si="246"/>
        <v>3.31</v>
      </c>
      <c r="CN257" s="17">
        <f t="shared" si="232"/>
        <v>4.5600000000000005</v>
      </c>
      <c r="CO257" s="17">
        <f t="shared" si="233"/>
        <v>6.52</v>
      </c>
      <c r="CP257" s="17">
        <f t="shared" si="234"/>
        <v>7.77</v>
      </c>
      <c r="CQ257" s="2" cm="1">
        <f t="array" aca="1" ref="CQ257" ca="1">MAX(_xlfn._xlws.FILTER(CJ257:CP257,CJ257:CP257&lt;BL257))</f>
        <v>1.3500000000000005</v>
      </c>
      <c r="CR257" s="2" cm="1">
        <f t="array" aca="1" ref="CR257" ca="1">MIN(_xlfn._xlws.FILTER($CJ257:$CP257,$CJ257:$CP257&gt;BL257))</f>
        <v>3.31</v>
      </c>
      <c r="CS257" s="16">
        <f t="shared" ca="1" si="265"/>
        <v>1.4518518518518508</v>
      </c>
      <c r="CT257" s="20">
        <f t="shared" ca="1" si="266"/>
        <v>-0.72592592592592542</v>
      </c>
      <c r="CU257" s="20">
        <f t="shared" ca="1" si="267"/>
        <v>-0.48395061728395028</v>
      </c>
      <c r="CV257" s="20">
        <f t="shared" ca="1" si="268"/>
        <v>-0.29037037037037017</v>
      </c>
      <c r="CW257" s="20">
        <f t="shared" ca="1" si="269"/>
        <v>-0.16131687242798343</v>
      </c>
      <c r="CX257" s="20">
        <f t="shared" ca="1" si="270"/>
        <v>-8.5403050108932399E-2</v>
      </c>
      <c r="CY257" s="20">
        <f t="shared" ca="1" si="271"/>
        <v>-4.3995510662177301E-2</v>
      </c>
      <c r="CZ257" s="20">
        <f t="shared" ca="1" si="272"/>
        <v>-2.2336182336182321E-2</v>
      </c>
      <c r="DA257" s="21">
        <f t="shared" ca="1" si="273"/>
        <v>2.2336182336182321E-2</v>
      </c>
      <c r="DB257" s="21">
        <f t="shared" ca="1" si="274"/>
        <v>4.3995510662177301E-2</v>
      </c>
      <c r="DC257" s="21">
        <f t="shared" ca="1" si="275"/>
        <v>8.5403050108932399E-2</v>
      </c>
      <c r="DD257" s="21">
        <f t="shared" ca="1" si="276"/>
        <v>0.16131687242798343</v>
      </c>
      <c r="DE257" s="21">
        <f t="shared" ca="1" si="277"/>
        <v>0.29037037037037017</v>
      </c>
      <c r="DF257" s="21">
        <f t="shared" ca="1" si="278"/>
        <v>0.48395061728395028</v>
      </c>
      <c r="DG257" s="21">
        <f t="shared" ca="1" si="279"/>
        <v>0.72592592592592542</v>
      </c>
      <c r="DI257" s="16" cm="1">
        <f t="array" aca="1" ref="DI257" ca="1">MAX(_xlfn._xlws.FILTER(CT257:DG257,CT257:DG257&lt;BR257))</f>
        <v>-2.2336182336182321E-2</v>
      </c>
      <c r="DJ257" s="16" cm="1">
        <f t="array" aca="1" ref="DJ257" ca="1">MIN(_xlfn._xlws.FILTER(CT257:DG257,CT257:DG257&gt;BR257))</f>
        <v>2.2336182336182321E-2</v>
      </c>
      <c r="DK257" s="2" cm="1">
        <f t="array" aca="1" ref="DK257" ca="1">_FV(EC257,"Fechamento anterior",TRUE)</f>
        <v>2.4300000000000002</v>
      </c>
      <c r="DL257" s="28">
        <f t="shared" ca="1" si="235"/>
        <v>0.13151927437641714</v>
      </c>
      <c r="DM257" s="15">
        <f t="shared" ca="1" si="280"/>
        <v>2.375723076923077</v>
      </c>
      <c r="DN257" s="15">
        <f t="shared" ca="1" si="281"/>
        <v>2.4842769230769233</v>
      </c>
      <c r="DO257" s="9"/>
      <c r="DP257" s="9"/>
      <c r="DQ257" s="9"/>
      <c r="DR257" s="89">
        <v>2.5201964843908565E-2</v>
      </c>
      <c r="DS257" s="89">
        <v>4.3996738935179421E-2</v>
      </c>
      <c r="DT257" s="89">
        <v>2.165932832599498E-2</v>
      </c>
      <c r="DU257" s="89">
        <v>4.4672364672364642E-2</v>
      </c>
      <c r="DV257" s="89">
        <f t="shared" ca="1" si="236"/>
        <v>4.4672364672364642E-2</v>
      </c>
      <c r="DW257" s="72">
        <f t="shared" ca="1" si="237"/>
        <v>-0.55510085725245006</v>
      </c>
      <c r="DX257" s="37"/>
      <c r="DY257" s="35">
        <f t="shared" si="247"/>
        <v>9.6378881965339724E-2</v>
      </c>
      <c r="DZ257" s="56"/>
      <c r="EA257" s="56"/>
      <c r="EC257" s="2" t="e" vm="259">
        <v>#VALUE!</v>
      </c>
      <c r="EE257" s="10" cm="1">
        <f t="array" aca="1" ref="EE257" ca="1">_FV(EC257,"Ações em circulação",TRUE)</f>
        <v>206917300</v>
      </c>
      <c r="EF257" s="18">
        <f>VLOOKUP(BM257,Fundamentus!A:U,5,FALSE)</f>
        <v>0.17799999999999999</v>
      </c>
      <c r="EG257" s="2">
        <f t="shared" ca="1" si="238"/>
        <v>2778271612.3595505</v>
      </c>
      <c r="EH257" s="17">
        <v>-85848592.821910113</v>
      </c>
      <c r="EI257" s="17">
        <f t="shared" ca="1" si="239"/>
        <v>-85848592.821910113</v>
      </c>
      <c r="EK257" s="16">
        <f t="shared" ca="1" si="226"/>
        <v>0</v>
      </c>
      <c r="EL257" s="32" t="str">
        <f>IF(VLOOKUP(BM257,Fundamentus!A:U,3,FALSE)&lt;15,"Bom",IF(VLOOKUP(BM257,Fundamentus!A:U,3,FALSE)&gt;15,"Ruim","n/a"))</f>
        <v>Bom</v>
      </c>
      <c r="EM257" s="28" t="str">
        <f>IF(VLOOKUP(BM257,Fundamentus!A:U,4,FALSE)&lt;1,"Baixo",IF(VLOOKUP(BM257,Fundamentus!A:U,4,FALSE)&lt;1.5,"Moderado",IF(VLOOKUP(BM257,Fundamentus!A:U,4,FALSE)&gt;1.5,"Alto","n/a")))</f>
        <v>Baixo</v>
      </c>
      <c r="EN257" s="17" t="str">
        <f>IF(VLOOKUP(BM257,Fundamentus!A:U,8,FALSE)&lt;0,"Risco elevado",IF(VLOOKUP(BM257,Fundamentus!A:U,8,FALSE)&lt;1,"Saudável",IF(VLOOKUP(BM257,Fundamentus!A:U,8,FALSE)&lt;3,"Estável",IF(VLOOKUP(BM257,Fundamentus!A:U,8,FALSE)&gt;3,"Alerta","n/a"))))</f>
        <v>Saudável</v>
      </c>
      <c r="EO257" s="28" t="str">
        <f t="shared" si="240"/>
        <v>Ruim</v>
      </c>
      <c r="EP257" s="17" t="str">
        <f>IF(VLOOKUP(BM257,Fundamentus!A:U,12,FALSE)&lt;2,"Subvalorizada",IF(VLOOKUP(BM257,Fundamentus!A:U,12,FALSE)&lt;6,"Muita barata",IF(VLOOKUP(BM257,Fundamentus!A:U,12,FALSE)&lt;6,"Barata",IF(VLOOKUP(BM257,Fundamentus!A:U,12,FALSE)&lt;8,"Atrativa",IF(VLOOKUP(BM257,Fundamentus!A:U,12,FALSE)&gt;8,"Supervalorizada","n/a")))))</f>
        <v>Muita barata</v>
      </c>
      <c r="ER257" s="17" t="str">
        <f>IF(VLOOKUP(BM257,Fundamentus!A:U,17,FALSE)&lt;0.1,"Fraco retorno",IF(VLOOKUP(BM257,Fundamentus!A:U,17,FALSE)&gt;0.1,"Bom retorno","n/a"))</f>
        <v>Fraco retorno</v>
      </c>
      <c r="ES257" s="17" t="str">
        <f>IF(VLOOKUP(BM257,Fundamentus!A:U,16,FALSE)&lt;0.1,"Ineficiente",IF(VLOOKUP(BM257,Fundamentus!A:U,16,FALSE)&gt;0.1,"Eficiente","n/a"))</f>
        <v>Ineficiente</v>
      </c>
      <c r="ET257" s="33" t="str">
        <f>IF(VLOOKUP(BM257,Fundamentus!A:U,16,FALSE)&lt;0.1,"Oper. Ineficiente",IF(VLOOKUP(BM257,Fundamentus!A:U,16,FALSE)&gt;0.1,"Oper.Eficiente","n/a"))</f>
        <v>Oper. Ineficiente</v>
      </c>
      <c r="EU257" s="34">
        <f>VLOOKUP(BM257,Fundamentus!A:U,14,FALSE)</f>
        <v>-3.09E-2</v>
      </c>
      <c r="EV257" s="17" t="str">
        <f>IF(VLOOKUP(BM257,Fundamentus!A:U,21,FALSE)&lt;0,"Negativo",IF(VLOOKUP(BM257,Fundamentus!A:U,21,FALSE)&lt;0.05,"Fraco",IF(VLOOKUP(BM257,Fundamentus!A:U,21,FALSE)&lt;0.1,"Bom",IF(VLOOKUP(BM257,Fundamentus!A:U,21,FALSE)&gt;0.1,"Muito bom","n/a"))))</f>
        <v>Muito bom</v>
      </c>
      <c r="EX257" s="29" t="str">
        <f>IF(VLOOKUP(BM257,Fundamentus!A:U,15,FALSE)&gt;1,"Bom",IF(VLOOKUP(BM257,Fundamentus!A:U,15,FALSE)&lt;1,"Ruim","n/a"))</f>
        <v>Bom</v>
      </c>
      <c r="EY257" s="17" t="str">
        <f>IF(VLOOKUP(BM257,Fundamentus!A:U,20,FALSE)&lt;0.5,"Baixa",IF(VLOOKUP(BM257,Fundamentus!A:U,20,FALSE)&lt;1,"Moderada",IF(VLOOKUP(BM257,Fundamentus!A:U,20,FALSE)&lt;2,"Alerta",IF(VLOOKUP(BM257,Fundamentus!A:U,20,FALSE)&gt;2,"Alta","n/a"))))</f>
        <v>Moderada</v>
      </c>
    </row>
    <row r="258" spans="1:155" s="2" customFormat="1" ht="11.25" x14ac:dyDescent="0.2">
      <c r="A258" s="4">
        <v>2.97</v>
      </c>
      <c r="B258" s="4">
        <v>2.98</v>
      </c>
      <c r="C258" s="4">
        <v>2.87</v>
      </c>
      <c r="D258" s="4">
        <v>2.74</v>
      </c>
      <c r="E258" s="4">
        <v>2.62</v>
      </c>
      <c r="F258" s="4">
        <v>2.4900000000000002</v>
      </c>
      <c r="G258" s="4">
        <v>2.02</v>
      </c>
      <c r="H258" s="4">
        <v>2.2999999999999998</v>
      </c>
      <c r="I258" s="4">
        <v>2.31</v>
      </c>
      <c r="J258" s="4">
        <v>2.38</v>
      </c>
      <c r="K258" s="4">
        <v>2.6</v>
      </c>
      <c r="L258" s="4">
        <v>2.39</v>
      </c>
      <c r="M258" s="4">
        <v>2.2599999999999998</v>
      </c>
      <c r="N258" s="4">
        <v>2.5</v>
      </c>
      <c r="O258" s="4">
        <v>2.56</v>
      </c>
      <c r="P258" s="4">
        <v>2.5</v>
      </c>
      <c r="Q258" s="4">
        <v>2.5</v>
      </c>
      <c r="R258" s="4">
        <v>2.35</v>
      </c>
      <c r="S258" s="4">
        <v>2.19</v>
      </c>
      <c r="T258" s="4">
        <v>2.0699999999999998</v>
      </c>
      <c r="U258" s="4">
        <v>2.0099999999999998</v>
      </c>
      <c r="V258" s="4">
        <v>1.87</v>
      </c>
      <c r="W258" s="4">
        <v>1.73</v>
      </c>
      <c r="X258" s="4">
        <v>1.81</v>
      </c>
      <c r="Y258" s="4">
        <v>1.7</v>
      </c>
      <c r="Z258" s="4">
        <v>1.57</v>
      </c>
      <c r="AA258" s="4">
        <v>1.44</v>
      </c>
      <c r="AB258" s="4">
        <v>1.45</v>
      </c>
      <c r="AC258" s="4">
        <v>1.31</v>
      </c>
      <c r="AD258" s="4">
        <v>1.3</v>
      </c>
      <c r="AE258" s="4">
        <v>1.34</v>
      </c>
      <c r="AF258" s="4">
        <v>1.25</v>
      </c>
      <c r="AG258" s="4">
        <v>1.22</v>
      </c>
      <c r="AH258" s="4">
        <v>1.1599999999999999</v>
      </c>
      <c r="AI258" s="4">
        <v>1.1499999999999999</v>
      </c>
      <c r="AJ258" s="4">
        <v>1.1000000000000001</v>
      </c>
      <c r="AK258" s="4">
        <v>1.07</v>
      </c>
      <c r="AL258" s="4">
        <v>1.0900000000000001</v>
      </c>
      <c r="AM258" s="4">
        <v>1.07</v>
      </c>
      <c r="AN258" s="4">
        <v>1.07</v>
      </c>
      <c r="AO258" s="4">
        <v>1.05</v>
      </c>
      <c r="AP258" s="4">
        <v>1.04</v>
      </c>
      <c r="AQ258" s="4">
        <v>1</v>
      </c>
      <c r="AR258" s="4">
        <v>1.17</v>
      </c>
      <c r="AS258" s="4">
        <v>1.0900000000000001</v>
      </c>
      <c r="AT258" s="4">
        <v>1</v>
      </c>
      <c r="AU258" s="4">
        <v>1</v>
      </c>
      <c r="AV258" s="4">
        <v>1</v>
      </c>
      <c r="AW258" s="4">
        <v>0.98</v>
      </c>
      <c r="AX258" s="4">
        <v>0.96</v>
      </c>
      <c r="AY258" s="12">
        <v>0.99</v>
      </c>
      <c r="AZ258" s="12">
        <v>0.99</v>
      </c>
      <c r="BA258" s="12">
        <v>0.94</v>
      </c>
      <c r="BB258" s="15">
        <v>0.94</v>
      </c>
      <c r="BC258" s="52">
        <v>0.91</v>
      </c>
      <c r="BD258" s="52">
        <v>0.92</v>
      </c>
      <c r="BE258" s="52">
        <v>0.91</v>
      </c>
      <c r="BF258" s="52">
        <v>0.89</v>
      </c>
      <c r="BG258" s="67">
        <v>0.88</v>
      </c>
      <c r="BH258" s="52">
        <v>0.88</v>
      </c>
      <c r="BI258" s="52">
        <v>0.87</v>
      </c>
      <c r="BJ258" s="52">
        <v>0.88</v>
      </c>
      <c r="BK258" s="52">
        <v>0.85</v>
      </c>
      <c r="BL258" s="52" cm="1">
        <f t="array" aca="1" ref="BL258" ca="1">_FV(EC258,"Preço")</f>
        <v>0.85</v>
      </c>
      <c r="BM258" s="69" t="s">
        <v>254</v>
      </c>
      <c r="BN258" s="36" cm="1">
        <f t="array" aca="1" ref="BN258" ca="1">_FV(EC258,"Média de volume",TRUE)</f>
        <v>49730</v>
      </c>
      <c r="BO258" s="36">
        <v>15700</v>
      </c>
      <c r="BP258" s="36" cm="1">
        <f t="array" aca="1" ref="BP258" ca="1">_FV(EC258,"Volume")</f>
        <v>15700</v>
      </c>
      <c r="BQ258" s="24" cm="1">
        <f t="array" aca="1" ref="BQ258" ca="1">_FV(EC258,"Beta")</f>
        <v>1.6943999999999999</v>
      </c>
      <c r="BR258" s="71" cm="1">
        <f t="array" aca="1" ref="BR258" ca="1">_FV(EC258,"Variação (%)",TRUE)</f>
        <v>1.1904999999999999E-2</v>
      </c>
      <c r="BT258" s="17" cm="1">
        <f t="array" aca="1" ref="BT258" ca="1">_FV(EC258,"Baixo")</f>
        <v>0.84</v>
      </c>
      <c r="BU258" s="17" cm="1">
        <f t="array" aca="1" ref="BU258" ca="1">_FV(EC258,"Alto")</f>
        <v>0.85</v>
      </c>
      <c r="BV258" s="24"/>
      <c r="BW258" s="63" t="e">
        <f ca="1">SQRT(22.5*(BL258/VLOOKUP(BM258,Fundamentus!A:U,3,FALSE))*(BL258/VLOOKUP(BM258,Fundamentus!A:U,4,FALSE)))</f>
        <v>#NUM!</v>
      </c>
      <c r="BY258" s="62">
        <f t="shared" ca="1" si="241"/>
        <v>0</v>
      </c>
      <c r="BZ258" s="8"/>
      <c r="CA258" s="61">
        <f t="shared" si="242"/>
        <v>0.85</v>
      </c>
      <c r="CB258" s="61">
        <f t="shared" si="243"/>
        <v>2.98</v>
      </c>
      <c r="CC258" s="61">
        <f t="shared" si="244"/>
        <v>1.5785714285714276</v>
      </c>
      <c r="CD258" s="14"/>
      <c r="CE258" s="35">
        <f t="shared" si="227"/>
        <v>0.84083388521576385</v>
      </c>
      <c r="CF258" s="15">
        <f t="shared" si="245"/>
        <v>0.86599999999999966</v>
      </c>
      <c r="CG258" s="35">
        <f t="shared" si="228"/>
        <v>0.89116611478423546</v>
      </c>
      <c r="CI258" s="14"/>
      <c r="CJ258" s="17">
        <f t="shared" si="229"/>
        <v>-1.9699999999999998</v>
      </c>
      <c r="CK258" s="17">
        <f t="shared" si="230"/>
        <v>-0.55999999999999983</v>
      </c>
      <c r="CL258" s="17">
        <f t="shared" si="231"/>
        <v>0.16000000000000014</v>
      </c>
      <c r="CM258" s="38">
        <f t="shared" si="246"/>
        <v>1.57</v>
      </c>
      <c r="CN258" s="17">
        <f t="shared" si="232"/>
        <v>2.29</v>
      </c>
      <c r="CO258" s="17">
        <f t="shared" si="233"/>
        <v>3.7</v>
      </c>
      <c r="CP258" s="17">
        <f t="shared" si="234"/>
        <v>4.42</v>
      </c>
      <c r="CQ258" s="2" cm="1">
        <f t="array" aca="1" ref="CQ258" ca="1">MAX(_xlfn._xlws.FILTER(CJ258:CP258,CJ258:CP258&lt;BL258))</f>
        <v>0.16000000000000014</v>
      </c>
      <c r="CR258" s="2" cm="1">
        <f t="array" aca="1" ref="CR258" ca="1">MIN(_xlfn._xlws.FILTER($CJ258:$CP258,$CJ258:$CP258&gt;BL258))</f>
        <v>1.57</v>
      </c>
      <c r="CS258" s="16">
        <f t="shared" ca="1" si="265"/>
        <v>8.8124999999999911</v>
      </c>
      <c r="CT258" s="20">
        <f t="shared" ca="1" si="266"/>
        <v>-4.4062499999999956</v>
      </c>
      <c r="CU258" s="20">
        <f t="shared" ca="1" si="267"/>
        <v>-2.9374999999999969</v>
      </c>
      <c r="CV258" s="20">
        <f t="shared" ca="1" si="268"/>
        <v>-1.7624999999999982</v>
      </c>
      <c r="CW258" s="20">
        <f t="shared" ca="1" si="269"/>
        <v>-0.97916666666666563</v>
      </c>
      <c r="CX258" s="20">
        <f t="shared" ca="1" si="270"/>
        <v>-0.51838235294117596</v>
      </c>
      <c r="CY258" s="20">
        <f t="shared" ca="1" si="271"/>
        <v>-0.26704545454545425</v>
      </c>
      <c r="CZ258" s="20">
        <f t="shared" ca="1" si="272"/>
        <v>-0.13557692307692293</v>
      </c>
      <c r="DA258" s="21">
        <f t="shared" ca="1" si="273"/>
        <v>0.13557692307692293</v>
      </c>
      <c r="DB258" s="21">
        <f t="shared" ca="1" si="274"/>
        <v>0.26704545454545425</v>
      </c>
      <c r="DC258" s="21">
        <f t="shared" ca="1" si="275"/>
        <v>0.51838235294117596</v>
      </c>
      <c r="DD258" s="21">
        <f t="shared" ca="1" si="276"/>
        <v>0.97916666666666563</v>
      </c>
      <c r="DE258" s="21">
        <f t="shared" ca="1" si="277"/>
        <v>1.7624999999999982</v>
      </c>
      <c r="DF258" s="21">
        <f t="shared" ca="1" si="278"/>
        <v>2.9374999999999969</v>
      </c>
      <c r="DG258" s="21">
        <f t="shared" ca="1" si="279"/>
        <v>4.4062499999999956</v>
      </c>
      <c r="DI258" s="16" cm="1">
        <f t="array" aca="1" ref="DI258" ca="1">MAX(_xlfn._xlws.FILTER(CT258:DG258,CT258:DG258&lt;BR258))</f>
        <v>-0.13557692307692293</v>
      </c>
      <c r="DJ258" s="16" cm="1">
        <f t="array" aca="1" ref="DJ258" ca="1">MIN(_xlfn._xlws.FILTER(CT258:DG258,CT258:DG258&gt;BR258))</f>
        <v>0.13557692307692293</v>
      </c>
      <c r="DK258" s="2" cm="1">
        <f t="array" aca="1" ref="DK258" ca="1">_FV(EC258,"Fechamento anterior",TRUE)</f>
        <v>0.84</v>
      </c>
      <c r="DL258" s="28">
        <f t="shared" ca="1" si="235"/>
        <v>0.54390408645727806</v>
      </c>
      <c r="DM258" s="15">
        <f t="shared" ca="1" si="280"/>
        <v>0.72611538461538472</v>
      </c>
      <c r="DN258" s="15">
        <f t="shared" ca="1" si="281"/>
        <v>0.95388461538461522</v>
      </c>
      <c r="DO258" s="9"/>
      <c r="DP258" s="9"/>
      <c r="DQ258" s="9"/>
      <c r="DR258" s="89">
        <v>0.22510121457489879</v>
      </c>
      <c r="DS258" s="89">
        <v>0.23931623931623908</v>
      </c>
      <c r="DT258" s="89">
        <v>0.24911242603550227</v>
      </c>
      <c r="DU258" s="89">
        <v>0.24911242603550227</v>
      </c>
      <c r="DV258" s="89">
        <f t="shared" ca="1" si="236"/>
        <v>0.27115384615384586</v>
      </c>
      <c r="DW258" s="72">
        <f t="shared" ca="1" si="237"/>
        <v>-0.63577553139120901</v>
      </c>
      <c r="DX258" s="37"/>
      <c r="DY258" s="35">
        <f t="shared" si="247"/>
        <v>1.2583057392117928E-2</v>
      </c>
      <c r="DZ258" s="56"/>
      <c r="EA258" s="56"/>
      <c r="EC258" s="2" t="e" vm="260">
        <v>#VALUE!</v>
      </c>
      <c r="EE258" s="10" cm="1">
        <f t="array" aca="1" ref="EE258" ca="1">_FV(EC258,"Ações em circulação",TRUE)</f>
        <v>38366080</v>
      </c>
      <c r="EF258" s="18">
        <f>VLOOKUP(BM258,Fundamentus!A:U,5,FALSE)</f>
        <v>0.3</v>
      </c>
      <c r="EG258" s="2">
        <f t="shared" ca="1" si="238"/>
        <v>108703893.33333334</v>
      </c>
      <c r="EH258" s="17">
        <v>-41687943.093333341</v>
      </c>
      <c r="EI258" s="17">
        <f t="shared" ca="1" si="239"/>
        <v>-41687943.093333341</v>
      </c>
      <c r="EK258" s="16">
        <f t="shared" ca="1" si="226"/>
        <v>0</v>
      </c>
      <c r="EL258" s="32" t="str">
        <f>IF(VLOOKUP(BM258,Fundamentus!A:U,3,FALSE)&lt;15,"Bom",IF(VLOOKUP(BM258,Fundamentus!A:U,3,FALSE)&gt;15,"Ruim","n/a"))</f>
        <v>Bom</v>
      </c>
      <c r="EM258" s="28" t="str">
        <f>IF(VLOOKUP(BM258,Fundamentus!A:U,4,FALSE)&lt;1,"Baixo",IF(VLOOKUP(BM258,Fundamentus!A:U,4,FALSE)&lt;1.5,"Moderado",IF(VLOOKUP(BM258,Fundamentus!A:U,4,FALSE)&gt;1.5,"Alto","n/a")))</f>
        <v>Baixo</v>
      </c>
      <c r="EN258" s="17" t="str">
        <f>IF(VLOOKUP(BM258,Fundamentus!A:U,8,FALSE)&lt;0,"Risco elevado",IF(VLOOKUP(BM258,Fundamentus!A:U,8,FALSE)&lt;1,"Saudável",IF(VLOOKUP(BM258,Fundamentus!A:U,8,FALSE)&lt;3,"Estável",IF(VLOOKUP(BM258,Fundamentus!A:U,8,FALSE)&gt;3,"Alerta","n/a"))))</f>
        <v>Saudável</v>
      </c>
      <c r="EO258" s="28" t="str">
        <f t="shared" si="240"/>
        <v>Ruim</v>
      </c>
      <c r="EP258" s="17" t="str">
        <f>IF(VLOOKUP(BM258,Fundamentus!A:U,12,FALSE)&lt;2,"Subvalorizada",IF(VLOOKUP(BM258,Fundamentus!A:U,12,FALSE)&lt;6,"Muita barata",IF(VLOOKUP(BM258,Fundamentus!A:U,12,FALSE)&lt;6,"Barata",IF(VLOOKUP(BM258,Fundamentus!A:U,12,FALSE)&lt;8,"Atrativa",IF(VLOOKUP(BM258,Fundamentus!A:U,12,FALSE)&gt;8,"Supervalorizada","n/a")))))</f>
        <v>Supervalorizada</v>
      </c>
      <c r="ER258" s="17" t="str">
        <f>IF(VLOOKUP(BM258,Fundamentus!A:U,17,FALSE)&lt;0.1,"Fraco retorno",IF(VLOOKUP(BM258,Fundamentus!A:U,17,FALSE)&gt;0.1,"Bom retorno","n/a"))</f>
        <v>Fraco retorno</v>
      </c>
      <c r="ES258" s="17" t="str">
        <f>IF(VLOOKUP(BM258,Fundamentus!A:U,16,FALSE)&lt;0.1,"Ineficiente",IF(VLOOKUP(BM258,Fundamentus!A:U,16,FALSE)&gt;0.1,"Eficiente","n/a"))</f>
        <v>Ineficiente</v>
      </c>
      <c r="ET258" s="33" t="str">
        <f>IF(VLOOKUP(BM258,Fundamentus!A:U,16,FALSE)&lt;0.1,"Oper. Ineficiente",IF(VLOOKUP(BM258,Fundamentus!A:U,16,FALSE)&gt;0.1,"Oper.Eficiente","n/a"))</f>
        <v>Oper. Ineficiente</v>
      </c>
      <c r="EU258" s="34">
        <f>VLOOKUP(BM258,Fundamentus!A:U,14,FALSE)</f>
        <v>-0.38350000000000001</v>
      </c>
      <c r="EV258" s="17" t="str">
        <f>IF(VLOOKUP(BM258,Fundamentus!A:U,21,FALSE)&lt;0,"Negativo",IF(VLOOKUP(BM258,Fundamentus!A:U,21,FALSE)&lt;0.05,"Fraco",IF(VLOOKUP(BM258,Fundamentus!A:U,21,FALSE)&lt;0.1,"Bom",IF(VLOOKUP(BM258,Fundamentus!A:U,21,FALSE)&gt;0.1,"Muito bom","n/a"))))</f>
        <v>Muito bom</v>
      </c>
      <c r="EX258" s="29" t="str">
        <f>IF(VLOOKUP(BM258,Fundamentus!A:U,15,FALSE)&gt;1,"Bom",IF(VLOOKUP(BM258,Fundamentus!A:U,15,FALSE)&lt;1,"Ruim","n/a"))</f>
        <v>Bom</v>
      </c>
      <c r="EY258" s="17" t="str">
        <f>IF(VLOOKUP(BM258,Fundamentus!A:U,20,FALSE)&lt;0.5,"Baixa",IF(VLOOKUP(BM258,Fundamentus!A:U,20,FALSE)&lt;1,"Moderada",IF(VLOOKUP(BM258,Fundamentus!A:U,20,FALSE)&lt;2,"Alerta",IF(VLOOKUP(BM258,Fundamentus!A:U,20,FALSE)&gt;2,"Alta","n/a"))))</f>
        <v>Baixa</v>
      </c>
    </row>
    <row r="259" spans="1:155" s="2" customFormat="1" ht="11.25" x14ac:dyDescent="0.2">
      <c r="A259" s="4">
        <v>4.6900000000000004</v>
      </c>
      <c r="B259" s="4">
        <v>4.0599999999999996</v>
      </c>
      <c r="C259" s="4">
        <v>3.32</v>
      </c>
      <c r="D259" s="4">
        <v>4.22</v>
      </c>
      <c r="E259" s="4">
        <v>3.42</v>
      </c>
      <c r="F259" s="4">
        <v>3.9</v>
      </c>
      <c r="G259" s="4">
        <v>4.22</v>
      </c>
      <c r="H259" s="4">
        <v>2.98</v>
      </c>
      <c r="I259" s="4">
        <v>2.79</v>
      </c>
      <c r="J259" s="4">
        <v>3.18</v>
      </c>
      <c r="K259" s="4">
        <v>3.65</v>
      </c>
      <c r="L259" s="4">
        <v>3.51</v>
      </c>
      <c r="M259" s="4">
        <v>2.92</v>
      </c>
      <c r="N259" s="4">
        <v>2.7</v>
      </c>
      <c r="O259" s="4">
        <v>2.98</v>
      </c>
      <c r="P259" s="4">
        <v>3.22</v>
      </c>
      <c r="Q259" s="4">
        <v>3.3</v>
      </c>
      <c r="R259" s="4">
        <v>2.99</v>
      </c>
      <c r="S259" s="4">
        <v>3.07</v>
      </c>
      <c r="T259" s="4">
        <v>3.01</v>
      </c>
      <c r="U259" s="4">
        <v>2.75</v>
      </c>
      <c r="V259" s="4">
        <v>2.72</v>
      </c>
      <c r="W259" s="4">
        <v>2.99</v>
      </c>
      <c r="X259" s="4">
        <v>2.98</v>
      </c>
      <c r="Y259" s="4">
        <v>2.71</v>
      </c>
      <c r="Z259" s="4">
        <v>2.66</v>
      </c>
      <c r="AA259" s="4">
        <v>2.5299999999999998</v>
      </c>
      <c r="AB259" s="4">
        <v>2.48</v>
      </c>
      <c r="AC259" s="4">
        <v>2.15</v>
      </c>
      <c r="AD259" s="4">
        <v>2.31</v>
      </c>
      <c r="AE259" s="4">
        <v>2.2599999999999998</v>
      </c>
      <c r="AF259" s="4">
        <v>2.1800000000000002</v>
      </c>
      <c r="AG259" s="4">
        <v>2.0099999999999998</v>
      </c>
      <c r="AH259" s="4">
        <v>1.92</v>
      </c>
      <c r="AI259" s="4">
        <v>2.04</v>
      </c>
      <c r="AJ259" s="4">
        <v>1.92</v>
      </c>
      <c r="AK259" s="4">
        <v>1.87</v>
      </c>
      <c r="AL259" s="4">
        <v>1.89</v>
      </c>
      <c r="AM259" s="4">
        <v>1.84</v>
      </c>
      <c r="AN259" s="4">
        <v>1.86</v>
      </c>
      <c r="AO259" s="4">
        <v>1.78</v>
      </c>
      <c r="AP259" s="4">
        <v>1.77</v>
      </c>
      <c r="AQ259" s="4">
        <v>1.77</v>
      </c>
      <c r="AR259" s="4">
        <v>1.67</v>
      </c>
      <c r="AS259" s="4">
        <v>1.72</v>
      </c>
      <c r="AT259" s="4">
        <v>1.9</v>
      </c>
      <c r="AU259" s="4">
        <v>1.92</v>
      </c>
      <c r="AV259" s="4">
        <v>1.95</v>
      </c>
      <c r="AW259" s="4">
        <v>1.82</v>
      </c>
      <c r="AX259" s="4">
        <v>1.76</v>
      </c>
      <c r="AY259" s="12">
        <v>1.8</v>
      </c>
      <c r="AZ259" s="12">
        <v>1.78</v>
      </c>
      <c r="BA259" s="12">
        <v>1.76</v>
      </c>
      <c r="BB259" s="15">
        <v>1.76</v>
      </c>
      <c r="BC259" s="52">
        <v>1.86</v>
      </c>
      <c r="BD259" s="52">
        <v>1.7</v>
      </c>
      <c r="BE259" s="52">
        <v>1.59</v>
      </c>
      <c r="BF259" s="52">
        <v>1.53</v>
      </c>
      <c r="BG259" s="67">
        <v>1.5</v>
      </c>
      <c r="BH259" s="52">
        <v>1.33</v>
      </c>
      <c r="BI259" s="52">
        <v>1.29</v>
      </c>
      <c r="BJ259" s="52">
        <v>1.37</v>
      </c>
      <c r="BK259" s="52">
        <v>1.31</v>
      </c>
      <c r="BL259" s="52" cm="1">
        <f t="array" aca="1" ref="BL259" ca="1">_FV(EC259,"Preço")</f>
        <v>1.31</v>
      </c>
      <c r="BM259" s="69" t="s">
        <v>255</v>
      </c>
      <c r="BN259" s="36" cm="1">
        <f t="array" aca="1" ref="BN259" ca="1">_FV(EC259,"Média de volume",TRUE)</f>
        <v>814800</v>
      </c>
      <c r="BO259" s="36">
        <v>455400</v>
      </c>
      <c r="BP259" s="36" cm="1">
        <f t="array" aca="1" ref="BP259" ca="1">_FV(EC259,"Volume")</f>
        <v>455400</v>
      </c>
      <c r="BQ259" s="24" cm="1">
        <f t="array" aca="1" ref="BQ259" ca="1">_FV(EC259,"Beta")</f>
        <v>1.0174000000000001</v>
      </c>
      <c r="BR259" s="71" cm="1">
        <f t="array" aca="1" ref="BR259" ca="1">_FV(EC259,"Variação (%)",TRUE)</f>
        <v>-2.2387999999999998E-2</v>
      </c>
      <c r="BT259" s="17" cm="1">
        <f t="array" aca="1" ref="BT259" ca="1">_FV(EC259,"Baixo")</f>
        <v>1.3</v>
      </c>
      <c r="BU259" s="17" cm="1">
        <f t="array" aca="1" ref="BU259" ca="1">_FV(EC259,"Alto")</f>
        <v>1.34</v>
      </c>
      <c r="BV259" s="24"/>
      <c r="BW259" s="63" t="e">
        <f ca="1">SQRT(22.5*(BL259/VLOOKUP(BM259,Fundamentus!A:U,3,FALSE))*(BL259/VLOOKUP(BM259,Fundamentus!A:U,4,FALSE)))</f>
        <v>#NUM!</v>
      </c>
      <c r="BY259" s="62">
        <f t="shared" ca="1" si="241"/>
        <v>0</v>
      </c>
      <c r="BZ259" s="8"/>
      <c r="CA259" s="61">
        <f t="shared" si="242"/>
        <v>1.29</v>
      </c>
      <c r="CB259" s="61">
        <f t="shared" si="243"/>
        <v>4.6900000000000004</v>
      </c>
      <c r="CC259" s="61">
        <f t="shared" si="244"/>
        <v>2.4260317460317466</v>
      </c>
      <c r="CD259" s="14"/>
      <c r="CE259" s="35">
        <f t="shared" si="227"/>
        <v>1.1396610018750182</v>
      </c>
      <c r="CF259" s="15">
        <f t="shared" si="245"/>
        <v>1.3260000000000005</v>
      </c>
      <c r="CG259" s="35">
        <f t="shared" si="228"/>
        <v>1.5123389981249828</v>
      </c>
      <c r="CI259" s="14"/>
      <c r="CJ259" s="17">
        <f t="shared" si="229"/>
        <v>-3.1900000000000004</v>
      </c>
      <c r="CK259" s="17">
        <f t="shared" si="230"/>
        <v>-0.95000000000000018</v>
      </c>
      <c r="CL259" s="17">
        <f t="shared" si="231"/>
        <v>0.20999999999999996</v>
      </c>
      <c r="CM259" s="38">
        <f t="shared" si="246"/>
        <v>2.4500000000000002</v>
      </c>
      <c r="CN259" s="17">
        <f t="shared" si="232"/>
        <v>3.6100000000000003</v>
      </c>
      <c r="CO259" s="17">
        <f t="shared" si="233"/>
        <v>5.8500000000000005</v>
      </c>
      <c r="CP259" s="17">
        <f t="shared" si="234"/>
        <v>7.0100000000000007</v>
      </c>
      <c r="CQ259" s="2" cm="1">
        <f t="array" aca="1" ref="CQ259" ca="1">MAX(_xlfn._xlws.FILTER(CJ259:CP259,CJ259:CP259&lt;BL259))</f>
        <v>0.20999999999999996</v>
      </c>
      <c r="CR259" s="2" cm="1">
        <f t="array" aca="1" ref="CR259" ca="1">MIN(_xlfn._xlws.FILTER($CJ259:$CP259,$CJ259:$CP259&gt;BL259))</f>
        <v>2.4500000000000002</v>
      </c>
      <c r="CS259" s="16">
        <f t="shared" ca="1" si="265"/>
        <v>10.66666666666667</v>
      </c>
      <c r="CT259" s="20">
        <f t="shared" ca="1" si="266"/>
        <v>-5.3333333333333348</v>
      </c>
      <c r="CU259" s="20">
        <f t="shared" ca="1" si="267"/>
        <v>-3.5555555555555567</v>
      </c>
      <c r="CV259" s="20">
        <f t="shared" ca="1" si="268"/>
        <v>-2.1333333333333337</v>
      </c>
      <c r="CW259" s="20">
        <f t="shared" ca="1" si="269"/>
        <v>-1.1851851851851856</v>
      </c>
      <c r="CX259" s="20">
        <f t="shared" ca="1" si="270"/>
        <v>-0.62745098039215708</v>
      </c>
      <c r="CY259" s="20">
        <f t="shared" ca="1" si="271"/>
        <v>-0.32323232323232332</v>
      </c>
      <c r="CZ259" s="20">
        <f t="shared" ca="1" si="272"/>
        <v>-0.16410256410256416</v>
      </c>
      <c r="DA259" s="21">
        <f t="shared" ca="1" si="273"/>
        <v>0.16410256410256416</v>
      </c>
      <c r="DB259" s="21">
        <f t="shared" ca="1" si="274"/>
        <v>0.32323232323232332</v>
      </c>
      <c r="DC259" s="21">
        <f t="shared" ca="1" si="275"/>
        <v>0.62745098039215708</v>
      </c>
      <c r="DD259" s="21">
        <f t="shared" ca="1" si="276"/>
        <v>1.1851851851851856</v>
      </c>
      <c r="DE259" s="21">
        <f t="shared" ca="1" si="277"/>
        <v>2.1333333333333337</v>
      </c>
      <c r="DF259" s="21">
        <f t="shared" ca="1" si="278"/>
        <v>3.5555555555555567</v>
      </c>
      <c r="DG259" s="21">
        <f t="shared" ca="1" si="279"/>
        <v>5.3333333333333348</v>
      </c>
      <c r="DI259" s="16" cm="1">
        <f t="array" aca="1" ref="DI259" ca="1">MAX(_xlfn._xlws.FILTER(CT259:DG259,CT259:DG259&lt;BR259))</f>
        <v>-0.16410256410256416</v>
      </c>
      <c r="DJ259" s="16" cm="1">
        <f t="array" aca="1" ref="DJ259" ca="1">MIN(_xlfn._xlws.FILTER(CT259:DG259,CT259:DG259&gt;BR259))</f>
        <v>0.16410256410256416</v>
      </c>
      <c r="DK259" s="2" cm="1">
        <f t="array" aca="1" ref="DK259" ca="1">_FV(EC259,"Fechamento anterior",TRUE)</f>
        <v>1.34</v>
      </c>
      <c r="DL259" s="28">
        <f t="shared" ca="1" si="235"/>
        <v>0.43178638059701485</v>
      </c>
      <c r="DM259" s="15">
        <f t="shared" ca="1" si="280"/>
        <v>1.1201025641025641</v>
      </c>
      <c r="DN259" s="15">
        <f t="shared" ca="1" si="281"/>
        <v>1.559897435897436</v>
      </c>
      <c r="DO259" s="9"/>
      <c r="DP259" s="9"/>
      <c r="DQ259" s="9"/>
      <c r="DR259" s="89">
        <v>0.1359870898332437</v>
      </c>
      <c r="DS259" s="89">
        <v>0.14985320023487969</v>
      </c>
      <c r="DT259" s="89">
        <v>0.32820512820512832</v>
      </c>
      <c r="DU259" s="89">
        <v>0.32820512820512832</v>
      </c>
      <c r="DV259" s="89">
        <f t="shared" ca="1" si="236"/>
        <v>0.32820512820512832</v>
      </c>
      <c r="DW259" s="72">
        <f t="shared" ca="1" si="237"/>
        <v>-8.5865010335994446E-2</v>
      </c>
      <c r="DX259" s="37"/>
      <c r="DY259" s="35">
        <f t="shared" si="247"/>
        <v>9.3169499062491223E-2</v>
      </c>
      <c r="DZ259" s="56"/>
      <c r="EA259" s="56"/>
      <c r="EC259" s="2" t="e" vm="261">
        <v>#VALUE!</v>
      </c>
      <c r="EE259" s="10" cm="1">
        <f t="array" aca="1" ref="EE259" ca="1">_FV(EC259,"Ações em circulação",TRUE)</f>
        <v>1255007000</v>
      </c>
      <c r="EF259" s="18">
        <f>VLOOKUP(BM259,Fundamentus!A:U,5,FALSE)</f>
        <v>0.122</v>
      </c>
      <c r="EG259" s="2">
        <f t="shared" ca="1" si="238"/>
        <v>13475894836.065575</v>
      </c>
      <c r="EH259" s="17">
        <v>-989130680.96721327</v>
      </c>
      <c r="EI259" s="17">
        <f t="shared" ca="1" si="239"/>
        <v>-989130680.96721327</v>
      </c>
      <c r="EK259" s="16">
        <f t="shared" ref="EK259:EK271" ca="1" si="282">(EI259/EH259)-1</f>
        <v>0</v>
      </c>
      <c r="EL259" s="32" t="str">
        <f>IF(VLOOKUP(BM259,Fundamentus!A:U,3,FALSE)&lt;15,"Bom",IF(VLOOKUP(BM259,Fundamentus!A:U,3,FALSE)&gt;15,"Ruim","n/a"))</f>
        <v>Bom</v>
      </c>
      <c r="EM259" s="28" t="str">
        <f>IF(VLOOKUP(BM259,Fundamentus!A:U,4,FALSE)&lt;1,"Baixo",IF(VLOOKUP(BM259,Fundamentus!A:U,4,FALSE)&lt;1.5,"Moderado",IF(VLOOKUP(BM259,Fundamentus!A:U,4,FALSE)&gt;1.5,"Alto","n/a")))</f>
        <v>Baixo</v>
      </c>
      <c r="EN259" s="17" t="str">
        <f>IF(VLOOKUP(BM259,Fundamentus!A:U,8,FALSE)&lt;0,"Risco elevado",IF(VLOOKUP(BM259,Fundamentus!A:U,8,FALSE)&lt;1,"Saudável",IF(VLOOKUP(BM259,Fundamentus!A:U,8,FALSE)&lt;3,"Estável",IF(VLOOKUP(BM259,Fundamentus!A:U,8,FALSE)&gt;3,"Alerta","n/a"))))</f>
        <v>Saudável</v>
      </c>
      <c r="EO259" s="28" t="str">
        <f t="shared" si="240"/>
        <v>Ruim</v>
      </c>
      <c r="EP259" s="17" t="str">
        <f>IF(VLOOKUP(BM259,Fundamentus!A:U,12,FALSE)&lt;2,"Subvalorizada",IF(VLOOKUP(BM259,Fundamentus!A:U,12,FALSE)&lt;6,"Muita barata",IF(VLOOKUP(BM259,Fundamentus!A:U,12,FALSE)&lt;6,"Barata",IF(VLOOKUP(BM259,Fundamentus!A:U,12,FALSE)&lt;8,"Atrativa",IF(VLOOKUP(BM259,Fundamentus!A:U,12,FALSE)&gt;8,"Supervalorizada","n/a")))))</f>
        <v>Muita barata</v>
      </c>
      <c r="ER259" s="17" t="str">
        <f>IF(VLOOKUP(BM259,Fundamentus!A:U,17,FALSE)&lt;0.1,"Fraco retorno",IF(VLOOKUP(BM259,Fundamentus!A:U,17,FALSE)&gt;0.1,"Bom retorno","n/a"))</f>
        <v>Fraco retorno</v>
      </c>
      <c r="ES259" s="17" t="str">
        <f>IF(VLOOKUP(BM259,Fundamentus!A:U,16,FALSE)&lt;0.1,"Ineficiente",IF(VLOOKUP(BM259,Fundamentus!A:U,16,FALSE)&gt;0.1,"Eficiente","n/a"))</f>
        <v>Ineficiente</v>
      </c>
      <c r="ET259" s="33" t="str">
        <f>IF(VLOOKUP(BM259,Fundamentus!A:U,16,FALSE)&lt;0.1,"Oper. Ineficiente",IF(VLOOKUP(BM259,Fundamentus!A:U,16,FALSE)&gt;0.1,"Oper.Eficiente","n/a"))</f>
        <v>Oper. Ineficiente</v>
      </c>
      <c r="EU259" s="34">
        <f>VLOOKUP(BM259,Fundamentus!A:U,14,FALSE)</f>
        <v>-7.3400000000000007E-2</v>
      </c>
      <c r="EV259" s="17" t="str">
        <f>IF(VLOOKUP(BM259,Fundamentus!A:U,21,FALSE)&lt;0,"Negativo",IF(VLOOKUP(BM259,Fundamentus!A:U,21,FALSE)&lt;0.05,"Fraco",IF(VLOOKUP(BM259,Fundamentus!A:U,21,FALSE)&lt;0.1,"Bom",IF(VLOOKUP(BM259,Fundamentus!A:U,21,FALSE)&gt;0.1,"Muito bom","n/a"))))</f>
        <v>Muito bom</v>
      </c>
      <c r="EX259" s="29" t="str">
        <f>IF(VLOOKUP(BM259,Fundamentus!A:U,15,FALSE)&gt;1,"Bom",IF(VLOOKUP(BM259,Fundamentus!A:U,15,FALSE)&lt;1,"Ruim","n/a"))</f>
        <v>Bom</v>
      </c>
      <c r="EY259" s="17" t="str">
        <f>IF(VLOOKUP(BM259,Fundamentus!A:U,20,FALSE)&lt;0.5,"Baixa",IF(VLOOKUP(BM259,Fundamentus!A:U,20,FALSE)&lt;1,"Moderada",IF(VLOOKUP(BM259,Fundamentus!A:U,20,FALSE)&lt;2,"Alerta",IF(VLOOKUP(BM259,Fundamentus!A:U,20,FALSE)&gt;2,"Alta","n/a"))))</f>
        <v>Alerta</v>
      </c>
    </row>
    <row r="260" spans="1:155" s="2" customFormat="1" ht="11.25" x14ac:dyDescent="0.2">
      <c r="A260" s="4">
        <v>5.7</v>
      </c>
      <c r="B260" s="4">
        <v>5.86</v>
      </c>
      <c r="C260" s="4">
        <v>5.28</v>
      </c>
      <c r="D260" s="4">
        <v>5.28</v>
      </c>
      <c r="E260" s="4">
        <v>5.01</v>
      </c>
      <c r="F260" s="4">
        <v>5.25</v>
      </c>
      <c r="G260" s="4">
        <v>5.19</v>
      </c>
      <c r="H260" s="4">
        <v>5.3</v>
      </c>
      <c r="I260" s="4">
        <v>5.34</v>
      </c>
      <c r="J260" s="4">
        <v>5.38</v>
      </c>
      <c r="K260" s="4">
        <v>5.04</v>
      </c>
      <c r="L260" s="4">
        <v>4.45</v>
      </c>
      <c r="M260" s="4">
        <v>4.0999999999999996</v>
      </c>
      <c r="N260" s="4">
        <v>3.81</v>
      </c>
      <c r="O260" s="4">
        <v>3.63</v>
      </c>
      <c r="P260" s="4">
        <v>3.89</v>
      </c>
      <c r="Q260" s="4">
        <v>4</v>
      </c>
      <c r="R260" s="4">
        <v>3.83</v>
      </c>
      <c r="S260" s="4">
        <v>3.82</v>
      </c>
      <c r="T260" s="4">
        <v>4</v>
      </c>
      <c r="U260" s="4">
        <v>3.17</v>
      </c>
      <c r="V260" s="4">
        <v>3.1</v>
      </c>
      <c r="W260" s="4">
        <v>3.29</v>
      </c>
      <c r="X260" s="4">
        <v>2.97</v>
      </c>
      <c r="Y260" s="4">
        <v>3.03</v>
      </c>
      <c r="Z260" s="4">
        <v>2.87</v>
      </c>
      <c r="AA260" s="4">
        <v>2.91</v>
      </c>
      <c r="AB260" s="4">
        <v>3.26</v>
      </c>
      <c r="AC260" s="4">
        <v>3.2</v>
      </c>
      <c r="AD260" s="4">
        <v>3.14</v>
      </c>
      <c r="AE260" s="4">
        <v>3.04</v>
      </c>
      <c r="AF260" s="4">
        <v>3.13</v>
      </c>
      <c r="AG260" s="4">
        <v>2.4500000000000002</v>
      </c>
      <c r="AH260" s="4">
        <v>2.4500000000000002</v>
      </c>
      <c r="AI260" s="4">
        <v>2.46</v>
      </c>
      <c r="AJ260" s="4">
        <v>2.9</v>
      </c>
      <c r="AK260" s="4">
        <v>2.84</v>
      </c>
      <c r="AL260" s="4">
        <v>2.86</v>
      </c>
      <c r="AM260" s="4">
        <v>2.88</v>
      </c>
      <c r="AN260" s="4">
        <v>2.98</v>
      </c>
      <c r="AO260" s="4">
        <v>2.95</v>
      </c>
      <c r="AP260" s="4">
        <v>3.13</v>
      </c>
      <c r="AQ260" s="4">
        <v>3.07</v>
      </c>
      <c r="AR260" s="4">
        <v>3</v>
      </c>
      <c r="AS260" s="4">
        <v>2.77</v>
      </c>
      <c r="AT260" s="4">
        <v>2.92</v>
      </c>
      <c r="AU260" s="4">
        <v>2.9550000000000001</v>
      </c>
      <c r="AV260" s="4">
        <v>2.93</v>
      </c>
      <c r="AW260" s="4">
        <v>2.87</v>
      </c>
      <c r="AX260" s="4">
        <v>2.42</v>
      </c>
      <c r="AY260" s="12">
        <v>2.1800000000000002</v>
      </c>
      <c r="AZ260" s="12">
        <v>2.19</v>
      </c>
      <c r="BA260" s="12">
        <v>2.0499999999999998</v>
      </c>
      <c r="BB260" s="15">
        <v>2.17</v>
      </c>
      <c r="BC260" s="52">
        <v>1.97</v>
      </c>
      <c r="BD260" s="52">
        <v>1.92</v>
      </c>
      <c r="BE260" s="52">
        <v>1.86</v>
      </c>
      <c r="BF260" s="52">
        <v>1.97</v>
      </c>
      <c r="BG260" s="67">
        <v>2.14</v>
      </c>
      <c r="BH260" s="52">
        <v>2.09</v>
      </c>
      <c r="BI260" s="52">
        <v>2.04</v>
      </c>
      <c r="BJ260" s="52">
        <v>2.06</v>
      </c>
      <c r="BK260" s="52">
        <v>2.06</v>
      </c>
      <c r="BL260" s="52" cm="1">
        <f t="array" aca="1" ref="BL260" ca="1">_FV(EC260,"Preço")</f>
        <v>2.06</v>
      </c>
      <c r="BM260" s="69" t="s">
        <v>256</v>
      </c>
      <c r="BN260" s="36" cm="1">
        <f t="array" aca="1" ref="BN260" ca="1">_FV(EC260,"Média de volume",TRUE)</f>
        <v>4770</v>
      </c>
      <c r="BO260" s="36">
        <v>6300</v>
      </c>
      <c r="BP260" s="36" cm="1">
        <f t="array" aca="1" ref="BP260" ca="1">_FV(EC260,"Volume")</f>
        <v>6300</v>
      </c>
      <c r="BQ260" s="24" cm="1">
        <f t="array" aca="1" ref="BQ260" ca="1">_FV(EC260,"Beta")</f>
        <v>0.76370000000000005</v>
      </c>
      <c r="BR260" s="71" cm="1">
        <f t="array" aca="1" ref="BR260" ca="1">_FV(EC260,"Variação (%)",TRUE)</f>
        <v>0</v>
      </c>
      <c r="BT260" s="17" cm="1">
        <f t="array" aca="1" ref="BT260" ca="1">_FV(EC260,"Baixo")</f>
        <v>1.98</v>
      </c>
      <c r="BU260" s="17" cm="1">
        <f t="array" aca="1" ref="BU260" ca="1">_FV(EC260,"Alto")</f>
        <v>2.06</v>
      </c>
      <c r="BV260" s="24"/>
      <c r="BW260" s="63" t="e">
        <f ca="1">SQRT(22.5*(BL260/VLOOKUP(BM260,Fundamentus!A:U,3,FALSE))*(BL260/VLOOKUP(BM260,Fundamentus!A:U,4,FALSE)))</f>
        <v>#NUM!</v>
      </c>
      <c r="BY260" s="62">
        <f t="shared" ca="1" si="241"/>
        <v>0</v>
      </c>
      <c r="BZ260" s="8"/>
      <c r="CA260" s="61">
        <f t="shared" si="242"/>
        <v>1.86</v>
      </c>
      <c r="CB260" s="61">
        <f t="shared" si="243"/>
        <v>5.86</v>
      </c>
      <c r="CC260" s="61">
        <f t="shared" si="244"/>
        <v>3.3143650793650785</v>
      </c>
      <c r="CD260" s="14"/>
      <c r="CE260" s="35">
        <f t="shared" si="227"/>
        <v>1.9563679712110669</v>
      </c>
      <c r="CF260" s="15">
        <f t="shared" si="245"/>
        <v>2.0590000000000046</v>
      </c>
      <c r="CG260" s="35">
        <f t="shared" si="228"/>
        <v>2.1616320287889423</v>
      </c>
      <c r="CI260" s="14"/>
      <c r="CJ260" s="17">
        <f t="shared" si="229"/>
        <v>-3.34</v>
      </c>
      <c r="CK260" s="17">
        <f t="shared" si="230"/>
        <v>-0.73999999999999977</v>
      </c>
      <c r="CL260" s="17">
        <f t="shared" si="231"/>
        <v>0.66000000000000014</v>
      </c>
      <c r="CM260" s="38">
        <f t="shared" si="246"/>
        <v>3.2600000000000002</v>
      </c>
      <c r="CN260" s="17">
        <f t="shared" si="232"/>
        <v>4.66</v>
      </c>
      <c r="CO260" s="17">
        <f t="shared" si="233"/>
        <v>7.26</v>
      </c>
      <c r="CP260" s="17">
        <f t="shared" si="234"/>
        <v>8.66</v>
      </c>
      <c r="CQ260" s="2" cm="1">
        <f t="array" aca="1" ref="CQ260" ca="1">MAX(_xlfn._xlws.FILTER(CJ260:CP260,CJ260:CP260&lt;BL260))</f>
        <v>0.66000000000000014</v>
      </c>
      <c r="CR260" s="2" cm="1">
        <f t="array" aca="1" ref="CR260" ca="1">MIN(_xlfn._xlws.FILTER($CJ260:$CP260,$CJ260:$CP260&gt;BL260))</f>
        <v>3.2600000000000002</v>
      </c>
      <c r="CS260" s="16">
        <f t="shared" ca="1" si="265"/>
        <v>3.9393939393939386</v>
      </c>
      <c r="CT260" s="20">
        <f t="shared" ca="1" si="266"/>
        <v>-1.9696969696969693</v>
      </c>
      <c r="CU260" s="20">
        <f t="shared" ca="1" si="267"/>
        <v>-1.3131313131313129</v>
      </c>
      <c r="CV260" s="20">
        <f t="shared" ca="1" si="268"/>
        <v>-0.78787878787878773</v>
      </c>
      <c r="CW260" s="20">
        <f t="shared" ca="1" si="269"/>
        <v>-0.43771043771043761</v>
      </c>
      <c r="CX260" s="20">
        <f t="shared" ca="1" si="270"/>
        <v>-0.23172905525846699</v>
      </c>
      <c r="CY260" s="20">
        <f t="shared" ca="1" si="271"/>
        <v>-0.11937557392102845</v>
      </c>
      <c r="CZ260" s="20">
        <f t="shared" ca="1" si="272"/>
        <v>-6.0606060606060594E-2</v>
      </c>
      <c r="DA260" s="21">
        <f t="shared" ca="1" si="273"/>
        <v>6.0606060606060594E-2</v>
      </c>
      <c r="DB260" s="21">
        <f t="shared" ca="1" si="274"/>
        <v>0.11937557392102845</v>
      </c>
      <c r="DC260" s="21">
        <f t="shared" ca="1" si="275"/>
        <v>0.23172905525846699</v>
      </c>
      <c r="DD260" s="21">
        <f t="shared" ca="1" si="276"/>
        <v>0.43771043771043761</v>
      </c>
      <c r="DE260" s="21">
        <f t="shared" ca="1" si="277"/>
        <v>0.78787878787878773</v>
      </c>
      <c r="DF260" s="21">
        <f t="shared" ca="1" si="278"/>
        <v>1.3131313131313129</v>
      </c>
      <c r="DG260" s="21">
        <f t="shared" ca="1" si="279"/>
        <v>1.9696969696969693</v>
      </c>
      <c r="DI260" s="16" cm="1">
        <f t="array" aca="1" ref="DI260" ca="1">MAX(_xlfn._xlws.FILTER(CT260:DG260,CT260:DG260&lt;BR260))</f>
        <v>-6.0606060606060594E-2</v>
      </c>
      <c r="DJ260" s="16" cm="1">
        <f t="array" aca="1" ref="DJ260" ca="1">MIN(_xlfn._xlws.FILTER(CT260:DG260,CT260:DG260&gt;BR260))</f>
        <v>6.0606060606060594E-2</v>
      </c>
      <c r="DK260" s="2" cm="1">
        <f t="array" aca="1" ref="DK260" ca="1">_FV(EC260,"Fechamento anterior",TRUE)</f>
        <v>2.06</v>
      </c>
      <c r="DL260" s="28">
        <f t="shared" ca="1" si="235"/>
        <v>0.49999999999999956</v>
      </c>
      <c r="DM260" s="15">
        <f t="shared" ca="1" si="280"/>
        <v>1.9351515151515153</v>
      </c>
      <c r="DN260" s="15">
        <f t="shared" ca="1" si="281"/>
        <v>2.184848484848485</v>
      </c>
      <c r="DO260" s="9"/>
      <c r="DP260" s="9"/>
      <c r="DQ260" s="9"/>
      <c r="DR260" s="89">
        <v>0.16988082340195007</v>
      </c>
      <c r="DS260" s="89">
        <v>0.11099928109273895</v>
      </c>
      <c r="DT260" s="89">
        <v>0.12121212121212119</v>
      </c>
      <c r="DU260" s="89">
        <v>0.12121212121212119</v>
      </c>
      <c r="DV260" s="89">
        <f t="shared" ca="1" si="236"/>
        <v>0.12121212121212119</v>
      </c>
      <c r="DW260" s="72">
        <f t="shared" ca="1" si="237"/>
        <v>9.7435470368801153E-3</v>
      </c>
      <c r="DX260" s="37"/>
      <c r="DY260" s="35">
        <f t="shared" si="247"/>
        <v>5.1316014394468867E-2</v>
      </c>
      <c r="DZ260" s="56"/>
      <c r="EA260" s="56"/>
      <c r="EC260" s="2" t="e" vm="262">
        <v>#VALUE!</v>
      </c>
      <c r="EE260" s="10" cm="1">
        <f t="array" aca="1" ref="EE260" ca="1">_FV(EC260,"Ações em circulação",TRUE)</f>
        <v>20000000</v>
      </c>
      <c r="EF260" s="18">
        <f>VLOOKUP(BM260,Fundamentus!A:U,5,FALSE)</f>
        <v>0.50800000000000001</v>
      </c>
      <c r="EG260" s="2">
        <f t="shared" ca="1" si="238"/>
        <v>81102362.204724401</v>
      </c>
      <c r="EH260" s="17">
        <v>266396929.13385823</v>
      </c>
      <c r="EI260" s="17">
        <f t="shared" ca="1" si="239"/>
        <v>266396929.13385823</v>
      </c>
      <c r="EK260" s="16">
        <f t="shared" ca="1" si="282"/>
        <v>0</v>
      </c>
      <c r="EL260" s="32" t="str">
        <f>IF(VLOOKUP(BM260,Fundamentus!A:U,3,FALSE)&lt;15,"Bom",IF(VLOOKUP(BM260,Fundamentus!A:U,3,FALSE)&gt;15,"Ruim","n/a"))</f>
        <v>Bom</v>
      </c>
      <c r="EM260" s="28" t="str">
        <f>IF(VLOOKUP(BM260,Fundamentus!A:U,4,FALSE)&lt;1,"Baixo",IF(VLOOKUP(BM260,Fundamentus!A:U,4,FALSE)&lt;1.5,"Moderado",IF(VLOOKUP(BM260,Fundamentus!A:U,4,FALSE)&gt;1.5,"Alto","n/a")))</f>
        <v>Baixo</v>
      </c>
      <c r="EN260" s="17" t="str">
        <f>IF(VLOOKUP(BM260,Fundamentus!A:U,8,FALSE)&lt;0,"Risco elevado",IF(VLOOKUP(BM260,Fundamentus!A:U,8,FALSE)&lt;1,"Saudável",IF(VLOOKUP(BM260,Fundamentus!A:U,8,FALSE)&lt;3,"Estável",IF(VLOOKUP(BM260,Fundamentus!A:U,8,FALSE)&gt;3,"Alerta","n/a"))))</f>
        <v>Risco elevado</v>
      </c>
      <c r="EO260" s="28" t="str">
        <f t="shared" si="240"/>
        <v>Ruim</v>
      </c>
      <c r="EP260" s="17" t="str">
        <f>IF(VLOOKUP(BM260,Fundamentus!A:U,12,FALSE)&lt;2,"Subvalorizada",IF(VLOOKUP(BM260,Fundamentus!A:U,12,FALSE)&lt;6,"Muita barata",IF(VLOOKUP(BM260,Fundamentus!A:U,12,FALSE)&lt;6,"Barata",IF(VLOOKUP(BM260,Fundamentus!A:U,12,FALSE)&lt;8,"Atrativa",IF(VLOOKUP(BM260,Fundamentus!A:U,12,FALSE)&gt;8,"Supervalorizada","n/a")))))</f>
        <v>Subvalorizada</v>
      </c>
      <c r="ER260" s="17" t="str">
        <f>IF(VLOOKUP(BM260,Fundamentus!A:U,17,FALSE)&lt;0.1,"Fraco retorno",IF(VLOOKUP(BM260,Fundamentus!A:U,17,FALSE)&gt;0.1,"Bom retorno","n/a"))</f>
        <v>Fraco retorno</v>
      </c>
      <c r="ES260" s="17" t="str">
        <f>IF(VLOOKUP(BM260,Fundamentus!A:U,16,FALSE)&lt;0.1,"Ineficiente",IF(VLOOKUP(BM260,Fundamentus!A:U,16,FALSE)&gt;0.1,"Eficiente","n/a"))</f>
        <v>Ineficiente</v>
      </c>
      <c r="ET260" s="33" t="str">
        <f>IF(VLOOKUP(BM260,Fundamentus!A:U,16,FALSE)&lt;0.1,"Oper. Ineficiente",IF(VLOOKUP(BM260,Fundamentus!A:U,16,FALSE)&gt;0.1,"Oper.Eficiente","n/a"))</f>
        <v>Oper. Ineficiente</v>
      </c>
      <c r="EU260" s="34">
        <f>VLOOKUP(BM260,Fundamentus!A:U,14,FALSE)</f>
        <v>3.2847</v>
      </c>
      <c r="EV260" s="17" t="str">
        <f>IF(VLOOKUP(BM260,Fundamentus!A:U,21,FALSE)&lt;0,"Negativo",IF(VLOOKUP(BM260,Fundamentus!A:U,21,FALSE)&lt;0.05,"Fraco",IF(VLOOKUP(BM260,Fundamentus!A:U,21,FALSE)&lt;0.1,"Bom",IF(VLOOKUP(BM260,Fundamentus!A:U,21,FALSE)&gt;0.1,"Muito bom","n/a"))))</f>
        <v>Fraco</v>
      </c>
      <c r="EX260" s="29" t="str">
        <f>IF(VLOOKUP(BM260,Fundamentus!A:U,15,FALSE)&gt;1,"Bom",IF(VLOOKUP(BM260,Fundamentus!A:U,15,FALSE)&lt;1,"Ruim","n/a"))</f>
        <v>Ruim</v>
      </c>
      <c r="EY260" s="17" t="str">
        <f>IF(VLOOKUP(BM260,Fundamentus!A:U,20,FALSE)&lt;0.5,"Baixa",IF(VLOOKUP(BM260,Fundamentus!A:U,20,FALSE)&lt;1,"Moderada",IF(VLOOKUP(BM260,Fundamentus!A:U,20,FALSE)&lt;2,"Alerta",IF(VLOOKUP(BM260,Fundamentus!A:U,20,FALSE)&gt;2,"Alta","n/a"))))</f>
        <v>Baixa</v>
      </c>
    </row>
    <row r="261" spans="1:155" s="2" customFormat="1" ht="11.25" x14ac:dyDescent="0.2">
      <c r="A261" s="4">
        <v>2.44</v>
      </c>
      <c r="B261" s="4">
        <v>2.64</v>
      </c>
      <c r="C261" s="4">
        <v>2.42</v>
      </c>
      <c r="D261" s="4">
        <v>2.27</v>
      </c>
      <c r="E261" s="4">
        <v>2.16</v>
      </c>
      <c r="F261" s="4">
        <v>2.1</v>
      </c>
      <c r="G261" s="4">
        <v>2.02</v>
      </c>
      <c r="H261" s="4">
        <v>2</v>
      </c>
      <c r="I261" s="4">
        <v>1.95</v>
      </c>
      <c r="J261" s="4">
        <v>2.09</v>
      </c>
      <c r="K261" s="4">
        <v>2.31</v>
      </c>
      <c r="L261" s="4">
        <v>2.14</v>
      </c>
      <c r="M261" s="4">
        <v>2.21</v>
      </c>
      <c r="N261" s="4">
        <v>2.0699999999999998</v>
      </c>
      <c r="O261" s="4">
        <v>2.09</v>
      </c>
      <c r="P261" s="4">
        <v>1.98</v>
      </c>
      <c r="Q261" s="4">
        <v>1.99</v>
      </c>
      <c r="R261" s="4">
        <v>1.96</v>
      </c>
      <c r="S261" s="4">
        <v>1.95</v>
      </c>
      <c r="T261" s="4">
        <v>1.93</v>
      </c>
      <c r="U261" s="4">
        <v>1.84</v>
      </c>
      <c r="V261" s="4">
        <v>1.9</v>
      </c>
      <c r="W261" s="4">
        <v>1.76</v>
      </c>
      <c r="X261" s="4">
        <v>1.71</v>
      </c>
      <c r="Y261" s="4">
        <v>1.48</v>
      </c>
      <c r="Z261" s="4">
        <v>1.4</v>
      </c>
      <c r="AA261" s="4">
        <v>1.34</v>
      </c>
      <c r="AB261" s="4">
        <v>1.38</v>
      </c>
      <c r="AC261" s="4">
        <v>1.35</v>
      </c>
      <c r="AD261" s="4">
        <v>1.38</v>
      </c>
      <c r="AE261" s="4">
        <v>1.37</v>
      </c>
      <c r="AF261" s="4">
        <v>1.33</v>
      </c>
      <c r="AG261" s="4">
        <v>1.34</v>
      </c>
      <c r="AH261" s="4">
        <v>1.33</v>
      </c>
      <c r="AI261" s="4">
        <v>1.31</v>
      </c>
      <c r="AJ261" s="4">
        <v>1.26</v>
      </c>
      <c r="AK261" s="4">
        <v>1.43</v>
      </c>
      <c r="AL261" s="4">
        <v>1.48</v>
      </c>
      <c r="AM261" s="4">
        <v>1.46</v>
      </c>
      <c r="AN261" s="4">
        <v>1.54</v>
      </c>
      <c r="AO261" s="4">
        <v>1.49</v>
      </c>
      <c r="AP261" s="4">
        <v>1.5</v>
      </c>
      <c r="AQ261" s="4">
        <v>1.54</v>
      </c>
      <c r="AR261" s="4">
        <v>1.35</v>
      </c>
      <c r="AS261" s="4">
        <v>1.41</v>
      </c>
      <c r="AT261" s="4">
        <v>1.44</v>
      </c>
      <c r="AU261" s="4">
        <v>1.42</v>
      </c>
      <c r="AV261" s="4">
        <v>1.46</v>
      </c>
      <c r="AW261" s="4">
        <v>1.56</v>
      </c>
      <c r="AX261" s="4">
        <v>1.4</v>
      </c>
      <c r="AY261" s="12">
        <v>1.4</v>
      </c>
      <c r="AZ261" s="12">
        <v>1.37</v>
      </c>
      <c r="BA261" s="12">
        <v>1.3</v>
      </c>
      <c r="BB261" s="15">
        <v>1.29</v>
      </c>
      <c r="BC261" s="52">
        <v>1.26</v>
      </c>
      <c r="BD261" s="52">
        <v>1.25</v>
      </c>
      <c r="BE261" s="52">
        <v>1.2</v>
      </c>
      <c r="BF261" s="52">
        <v>1.19</v>
      </c>
      <c r="BG261" s="67">
        <v>1.18</v>
      </c>
      <c r="BH261" s="52">
        <v>1.17</v>
      </c>
      <c r="BI261" s="52">
        <v>1.22</v>
      </c>
      <c r="BJ261" s="52">
        <v>1.61</v>
      </c>
      <c r="BK261" s="52">
        <v>1.94</v>
      </c>
      <c r="BL261" s="52" cm="1">
        <f t="array" aca="1" ref="BL261" ca="1">_FV(EC261,"Preço")</f>
        <v>1.94</v>
      </c>
      <c r="BM261" s="69" t="s">
        <v>257</v>
      </c>
      <c r="BN261" s="36" cm="1">
        <f t="array" aca="1" ref="BN261" ca="1">_FV(EC261,"Média de volume",TRUE)</f>
        <v>454130</v>
      </c>
      <c r="BO261" s="36">
        <v>998700</v>
      </c>
      <c r="BP261" s="36" cm="1">
        <f t="array" aca="1" ref="BP261" ca="1">_FV(EC261,"Volume")</f>
        <v>998700</v>
      </c>
      <c r="BQ261" s="24" cm="1">
        <f t="array" aca="1" ref="BQ261" ca="1">_FV(EC261,"Beta")</f>
        <v>1.6232</v>
      </c>
      <c r="BR261" s="71" cm="1">
        <f t="array" aca="1" ref="BR261" ca="1">_FV(EC261,"Variação (%)",TRUE)</f>
        <v>0.12138699999999999</v>
      </c>
      <c r="BT261" s="17" cm="1">
        <f t="array" aca="1" ref="BT261" ca="1">_FV(EC261,"Baixo")</f>
        <v>1.65</v>
      </c>
      <c r="BU261" s="17" cm="1">
        <f t="array" aca="1" ref="BU261" ca="1">_FV(EC261,"Alto")</f>
        <v>1.98</v>
      </c>
      <c r="BV261" s="24"/>
      <c r="BW261" s="63" t="e">
        <f ca="1">SQRT(22.5*(BL261/VLOOKUP(BM261,Fundamentus!A:U,3,FALSE))*(BL261/VLOOKUP(BM261,Fundamentus!A:U,4,FALSE)))</f>
        <v>#NUM!</v>
      </c>
      <c r="BY261" s="62">
        <f t="shared" ca="1" si="241"/>
        <v>0</v>
      </c>
      <c r="BZ261" s="8"/>
      <c r="CA261" s="61">
        <f t="shared" si="242"/>
        <v>1.17</v>
      </c>
      <c r="CB261" s="61">
        <f t="shared" si="243"/>
        <v>2.64</v>
      </c>
      <c r="CC261" s="61">
        <f t="shared" si="244"/>
        <v>1.6517460317460322</v>
      </c>
      <c r="CD261" s="14"/>
      <c r="CE261" s="35">
        <f t="shared" si="227"/>
        <v>1.035677029945375</v>
      </c>
      <c r="CF261" s="15">
        <f t="shared" si="245"/>
        <v>1.6199999999998909</v>
      </c>
      <c r="CG261" s="35">
        <f t="shared" si="228"/>
        <v>2.2043229700544069</v>
      </c>
      <c r="CI261" s="14"/>
      <c r="CJ261" s="17">
        <f t="shared" si="229"/>
        <v>-0.49666666666666703</v>
      </c>
      <c r="CK261" s="17">
        <f t="shared" si="230"/>
        <v>0.33666666666666645</v>
      </c>
      <c r="CL261" s="17">
        <f t="shared" si="231"/>
        <v>0.97333333333333316</v>
      </c>
      <c r="CM261" s="38">
        <f t="shared" si="246"/>
        <v>1.8066666666666666</v>
      </c>
      <c r="CN261" s="17">
        <f t="shared" si="232"/>
        <v>2.4433333333333334</v>
      </c>
      <c r="CO261" s="17">
        <f t="shared" si="233"/>
        <v>3.2766666666666668</v>
      </c>
      <c r="CP261" s="17">
        <f t="shared" si="234"/>
        <v>3.9133333333333336</v>
      </c>
      <c r="CQ261" s="2" cm="1">
        <f t="array" aca="1" ref="CQ261" ca="1">MAX(_xlfn._xlws.FILTER(CJ261:CP261,CJ261:CP261&lt;BL261))</f>
        <v>1.8066666666666666</v>
      </c>
      <c r="CR261" s="2" cm="1">
        <f t="array" aca="1" ref="CR261" ca="1">MIN(_xlfn._xlws.FILTER($CJ261:$CP261,$CJ261:$CP261&gt;BL261))</f>
        <v>2.4433333333333334</v>
      </c>
      <c r="CS261" s="16">
        <f t="shared" ca="1" si="265"/>
        <v>0.35239852398523985</v>
      </c>
      <c r="CT261" s="20">
        <f t="shared" ca="1" si="266"/>
        <v>-0.17619926199261993</v>
      </c>
      <c r="CU261" s="20">
        <f t="shared" ca="1" si="267"/>
        <v>-0.11746617466174662</v>
      </c>
      <c r="CV261" s="20">
        <f t="shared" ca="1" si="268"/>
        <v>-7.0479704797047973E-2</v>
      </c>
      <c r="CW261" s="20">
        <f t="shared" ca="1" si="269"/>
        <v>-3.9155391553915536E-2</v>
      </c>
      <c r="CX261" s="20">
        <f t="shared" ca="1" si="270"/>
        <v>-2.0729324940308227E-2</v>
      </c>
      <c r="CY261" s="20">
        <f t="shared" ca="1" si="271"/>
        <v>-1.0678743151067874E-2</v>
      </c>
      <c r="CZ261" s="20">
        <f t="shared" ca="1" si="272"/>
        <v>-5.4215157536190743E-3</v>
      </c>
      <c r="DA261" s="21">
        <f t="shared" ca="1" si="273"/>
        <v>5.4215157536190743E-3</v>
      </c>
      <c r="DB261" s="21">
        <f t="shared" ca="1" si="274"/>
        <v>1.0678743151067874E-2</v>
      </c>
      <c r="DC261" s="21">
        <f t="shared" ca="1" si="275"/>
        <v>2.0729324940308227E-2</v>
      </c>
      <c r="DD261" s="21">
        <f t="shared" ca="1" si="276"/>
        <v>3.9155391553915536E-2</v>
      </c>
      <c r="DE261" s="21">
        <f t="shared" ca="1" si="277"/>
        <v>7.0479704797047973E-2</v>
      </c>
      <c r="DF261" s="21">
        <f t="shared" ca="1" si="278"/>
        <v>0.11746617466174662</v>
      </c>
      <c r="DG261" s="21">
        <f t="shared" ca="1" si="279"/>
        <v>0.17619926199261993</v>
      </c>
      <c r="DI261" s="16" cm="1">
        <f t="array" aca="1" ref="DI261" ca="1">MAX(_xlfn._xlws.FILTER(CT261:DG261,CT261:DG261&lt;BR261))</f>
        <v>0.11746617466174662</v>
      </c>
      <c r="DJ261" s="16" cm="1">
        <f t="array" aca="1" ref="DJ261" ca="1">MIN(_xlfn._xlws.FILTER(CT261:DG261,CT261:DG261&gt;BR261))</f>
        <v>0.17619926199261993</v>
      </c>
      <c r="DK261" s="2" cm="1">
        <f t="array" aca="1" ref="DK261" ca="1">_FV(EC261,"Fechamento anterior",TRUE)</f>
        <v>1.73</v>
      </c>
      <c r="DL261" s="28">
        <f t="shared" ca="1" si="235"/>
        <v>6.6761492600550185E-2</v>
      </c>
      <c r="DM261" s="15">
        <f t="shared" ref="DM261:DM271" ca="1" si="283">DK261+(DK261*DI261)</f>
        <v>1.9332164821648217</v>
      </c>
      <c r="DN261" s="15">
        <f t="shared" ref="DN261:DN271" ca="1" si="284">DK261+(DK261*DJ261)</f>
        <v>2.0348247232472323</v>
      </c>
      <c r="DO261" s="9"/>
      <c r="DP261" s="9"/>
      <c r="DQ261" s="9"/>
      <c r="DR261" s="89">
        <v>4.3269230769230782E-2</v>
      </c>
      <c r="DS261" s="89">
        <v>4.3195266272189344E-2</v>
      </c>
      <c r="DT261" s="89">
        <v>1.2772615512341545E-2</v>
      </c>
      <c r="DU261" s="89">
        <v>5.8733087330873304E-2</v>
      </c>
      <c r="DV261" s="89">
        <f t="shared" ca="1" si="236"/>
        <v>5.8733087330873304E-2</v>
      </c>
      <c r="DW261" s="72">
        <f t="shared" ca="1" si="237"/>
        <v>0.54764234233381914</v>
      </c>
      <c r="DX261" s="37"/>
      <c r="DY261" s="35">
        <f t="shared" si="247"/>
        <v>0.29216148502725792</v>
      </c>
      <c r="DZ261" s="56"/>
      <c r="EA261" s="56"/>
      <c r="EC261" s="2" t="e" vm="263">
        <v>#VALUE!</v>
      </c>
      <c r="EE261" s="10" cm="1">
        <f t="array" aca="1" ref="EE261" ca="1">_FV(EC261,"Ações em circulação",TRUE)</f>
        <v>90511120</v>
      </c>
      <c r="EF261" s="18">
        <f>VLOOKUP(BM261,Fundamentus!A:U,5,FALSE)</f>
        <v>0.20200000000000001</v>
      </c>
      <c r="EG261" s="2">
        <f t="shared" ca="1" si="238"/>
        <v>869265211.88118792</v>
      </c>
      <c r="EH261" s="17">
        <v>-280077251.26811874</v>
      </c>
      <c r="EI261" s="17">
        <f t="shared" ca="1" si="239"/>
        <v>-280077251.26811874</v>
      </c>
      <c r="EK261" s="16">
        <f t="shared" ca="1" si="282"/>
        <v>0</v>
      </c>
      <c r="EL261" s="32" t="str">
        <f>IF(VLOOKUP(BM261,Fundamentus!A:U,3,FALSE)&lt;15,"Bom",IF(VLOOKUP(BM261,Fundamentus!A:U,3,FALSE)&gt;15,"Ruim","n/a"))</f>
        <v>Bom</v>
      </c>
      <c r="EM261" s="28" t="str">
        <f>IF(VLOOKUP(BM261,Fundamentus!A:U,4,FALSE)&lt;1,"Baixo",IF(VLOOKUP(BM261,Fundamentus!A:U,4,FALSE)&lt;1.5,"Moderado",IF(VLOOKUP(BM261,Fundamentus!A:U,4,FALSE)&gt;1.5,"Alto","n/a")))</f>
        <v>Baixo</v>
      </c>
      <c r="EN261" s="17" t="str">
        <f>IF(VLOOKUP(BM261,Fundamentus!A:U,8,FALSE)&lt;0,"Risco elevado",IF(VLOOKUP(BM261,Fundamentus!A:U,8,FALSE)&lt;1,"Saudável",IF(VLOOKUP(BM261,Fundamentus!A:U,8,FALSE)&lt;3,"Estável",IF(VLOOKUP(BM261,Fundamentus!A:U,8,FALSE)&gt;3,"Alerta","n/a"))))</f>
        <v>Estável</v>
      </c>
      <c r="EO261" s="28" t="str">
        <f t="shared" si="240"/>
        <v>Ruim</v>
      </c>
      <c r="EP261" s="17" t="str">
        <f>IF(VLOOKUP(BM261,Fundamentus!A:U,12,FALSE)&lt;2,"Subvalorizada",IF(VLOOKUP(BM261,Fundamentus!A:U,12,FALSE)&lt;6,"Muita barata",IF(VLOOKUP(BM261,Fundamentus!A:U,12,FALSE)&lt;6,"Barata",IF(VLOOKUP(BM261,Fundamentus!A:U,12,FALSE)&lt;8,"Atrativa",IF(VLOOKUP(BM261,Fundamentus!A:U,12,FALSE)&gt;8,"Supervalorizada","n/a")))))</f>
        <v>Subvalorizada</v>
      </c>
      <c r="ER261" s="17" t="str">
        <f>IF(VLOOKUP(BM261,Fundamentus!A:U,17,FALSE)&lt;0.1,"Fraco retorno",IF(VLOOKUP(BM261,Fundamentus!A:U,17,FALSE)&gt;0.1,"Bom retorno","n/a"))</f>
        <v>Fraco retorno</v>
      </c>
      <c r="ES261" s="17" t="str">
        <f>IF(VLOOKUP(BM261,Fundamentus!A:U,16,FALSE)&lt;0.1,"Ineficiente",IF(VLOOKUP(BM261,Fundamentus!A:U,16,FALSE)&gt;0.1,"Eficiente","n/a"))</f>
        <v>Ineficiente</v>
      </c>
      <c r="ET261" s="33" t="str">
        <f>IF(VLOOKUP(BM261,Fundamentus!A:U,16,FALSE)&lt;0.1,"Oper. Ineficiente",IF(VLOOKUP(BM261,Fundamentus!A:U,16,FALSE)&gt;0.1,"Oper.Eficiente","n/a"))</f>
        <v>Oper. Ineficiente</v>
      </c>
      <c r="EU261" s="34">
        <f>VLOOKUP(BM261,Fundamentus!A:U,14,FALSE)</f>
        <v>-0.32219999999999999</v>
      </c>
      <c r="EV261" s="17" t="str">
        <f>IF(VLOOKUP(BM261,Fundamentus!A:U,21,FALSE)&lt;0,"Negativo",IF(VLOOKUP(BM261,Fundamentus!A:U,21,FALSE)&lt;0.05,"Fraco",IF(VLOOKUP(BM261,Fundamentus!A:U,21,FALSE)&lt;0.1,"Bom",IF(VLOOKUP(BM261,Fundamentus!A:U,21,FALSE)&gt;0.1,"Muito bom","n/a"))))</f>
        <v>Muito bom</v>
      </c>
      <c r="EX261" s="29" t="str">
        <f>IF(VLOOKUP(BM261,Fundamentus!A:U,15,FALSE)&gt;1,"Bom",IF(VLOOKUP(BM261,Fundamentus!A:U,15,FALSE)&lt;1,"Ruim","n/a"))</f>
        <v>Bom</v>
      </c>
      <c r="EY261" s="17" t="str">
        <f>IF(VLOOKUP(BM261,Fundamentus!A:U,20,FALSE)&lt;0.5,"Baixa",IF(VLOOKUP(BM261,Fundamentus!A:U,20,FALSE)&lt;1,"Moderada",IF(VLOOKUP(BM261,Fundamentus!A:U,20,FALSE)&lt;2,"Alerta",IF(VLOOKUP(BM261,Fundamentus!A:U,20,FALSE)&gt;2,"Alta","n/a"))))</f>
        <v>Alerta</v>
      </c>
    </row>
    <row r="262" spans="1:155" s="2" customFormat="1" ht="11.25" x14ac:dyDescent="0.2">
      <c r="A262" s="4">
        <v>10.95</v>
      </c>
      <c r="B262" s="4">
        <v>11.08</v>
      </c>
      <c r="C262" s="4">
        <v>10.07</v>
      </c>
      <c r="D262" s="4">
        <v>10.36</v>
      </c>
      <c r="E262" s="4">
        <v>9.5</v>
      </c>
      <c r="F262" s="4">
        <v>9.23</v>
      </c>
      <c r="G262" s="4">
        <v>9.1199999999999992</v>
      </c>
      <c r="H262" s="4">
        <v>7.68</v>
      </c>
      <c r="I262" s="4">
        <v>7.35</v>
      </c>
      <c r="J262" s="4">
        <v>8.2200000000000006</v>
      </c>
      <c r="K262" s="4">
        <v>8.83</v>
      </c>
      <c r="L262" s="4">
        <v>8.3800000000000008</v>
      </c>
      <c r="M262" s="4">
        <v>8.25</v>
      </c>
      <c r="N262" s="4">
        <v>7.95</v>
      </c>
      <c r="O262" s="4">
        <v>7.95</v>
      </c>
      <c r="P262" s="4">
        <v>7.41</v>
      </c>
      <c r="Q262" s="4">
        <v>7.6</v>
      </c>
      <c r="R262" s="4">
        <v>5.39</v>
      </c>
      <c r="S262" s="4">
        <v>4.4400000000000004</v>
      </c>
      <c r="T262" s="4">
        <v>4.95</v>
      </c>
      <c r="U262" s="4">
        <v>5.26</v>
      </c>
      <c r="V262" s="4">
        <v>5.95</v>
      </c>
      <c r="W262" s="4">
        <v>5.88</v>
      </c>
      <c r="X262" s="4">
        <v>5.93</v>
      </c>
      <c r="Y262" s="4">
        <v>5.76</v>
      </c>
      <c r="Z262" s="4">
        <v>5.36</v>
      </c>
      <c r="AA262" s="4">
        <v>5.31</v>
      </c>
      <c r="AB262" s="4">
        <v>5.1100000000000003</v>
      </c>
      <c r="AC262" s="4">
        <v>5.33</v>
      </c>
      <c r="AD262" s="4">
        <v>4.97</v>
      </c>
      <c r="AE262" s="4">
        <v>4.92</v>
      </c>
      <c r="AF262" s="4">
        <v>4.37</v>
      </c>
      <c r="AG262" s="4">
        <v>4.17</v>
      </c>
      <c r="AH262" s="4">
        <v>3.3</v>
      </c>
      <c r="AI262" s="4">
        <v>3.36</v>
      </c>
      <c r="AJ262" s="4">
        <v>3.75</v>
      </c>
      <c r="AK262" s="4">
        <v>4.1399999999999997</v>
      </c>
      <c r="AL262" s="4">
        <v>4.43</v>
      </c>
      <c r="AM262" s="4">
        <v>4.51</v>
      </c>
      <c r="AN262" s="4">
        <v>4.5999999999999996</v>
      </c>
      <c r="AO262" s="4">
        <v>3.78</v>
      </c>
      <c r="AP262" s="4">
        <v>3.84</v>
      </c>
      <c r="AQ262" s="4">
        <v>3.63</v>
      </c>
      <c r="AR262" s="4">
        <v>3.87</v>
      </c>
      <c r="AS262" s="4">
        <v>3.9</v>
      </c>
      <c r="AT262" s="4">
        <v>3.77</v>
      </c>
      <c r="AU262" s="4">
        <v>3.72</v>
      </c>
      <c r="AV262" s="4">
        <v>3.44</v>
      </c>
      <c r="AW262" s="4">
        <v>3.21</v>
      </c>
      <c r="AX262" s="4">
        <v>3</v>
      </c>
      <c r="AY262" s="12">
        <v>3.06</v>
      </c>
      <c r="AZ262" s="12">
        <v>1.95</v>
      </c>
      <c r="BA262" s="12">
        <v>1.47</v>
      </c>
      <c r="BB262" s="15">
        <v>1.43</v>
      </c>
      <c r="BC262" s="52">
        <v>1.1399999999999999</v>
      </c>
      <c r="BD262" s="52">
        <v>1.04</v>
      </c>
      <c r="BE262" s="52">
        <v>0.9</v>
      </c>
      <c r="BF262" s="52">
        <v>0.96</v>
      </c>
      <c r="BG262" s="67">
        <v>0.99</v>
      </c>
      <c r="BH262" s="52">
        <v>0.98</v>
      </c>
      <c r="BI262" s="52">
        <v>0.94</v>
      </c>
      <c r="BJ262" s="52">
        <v>0.93</v>
      </c>
      <c r="BK262" s="52">
        <v>0.8</v>
      </c>
      <c r="BL262" s="52" cm="1">
        <f t="array" aca="1" ref="BL262" ca="1">_FV(EC262,"Preço")</f>
        <v>0.8</v>
      </c>
      <c r="BM262" s="69" t="s">
        <v>258</v>
      </c>
      <c r="BN262" s="36" cm="1">
        <f t="array" aca="1" ref="BN262" ca="1">_FV(EC262,"Média de volume",TRUE)</f>
        <v>12015780</v>
      </c>
      <c r="BO262" s="36">
        <v>35074300</v>
      </c>
      <c r="BP262" s="36" cm="1">
        <f t="array" aca="1" ref="BP262" ca="1">_FV(EC262,"Volume")</f>
        <v>35074300</v>
      </c>
      <c r="BQ262" s="24" cm="1">
        <f t="array" aca="1" ref="BQ262" ca="1">_FV(EC262,"Beta")</f>
        <v>2.0215000000000001</v>
      </c>
      <c r="BR262" s="71" cm="1">
        <f t="array" aca="1" ref="BR262" ca="1">_FV(EC262,"Variação (%)",TRUE)</f>
        <v>-5.8823999999999994E-2</v>
      </c>
      <c r="BT262" s="17" cm="1">
        <f t="array" aca="1" ref="BT262" ca="1">_FV(EC262,"Baixo")</f>
        <v>0.78</v>
      </c>
      <c r="BU262" s="17" cm="1">
        <f t="array" aca="1" ref="BU262" ca="1">_FV(EC262,"Alto")</f>
        <v>0.86</v>
      </c>
      <c r="BV262" s="24"/>
      <c r="BW262" s="63" t="e">
        <f ca="1">SQRT(22.5*(BL262/VLOOKUP(BM262,Fundamentus!A:U,3,FALSE))*(BL262/VLOOKUP(BM262,Fundamentus!A:U,4,FALSE)))</f>
        <v>#NUM!</v>
      </c>
      <c r="BY262" s="62">
        <f t="shared" ca="1" si="241"/>
        <v>0</v>
      </c>
      <c r="BZ262" s="8"/>
      <c r="CA262" s="61">
        <f t="shared" si="242"/>
        <v>0.8</v>
      </c>
      <c r="CB262" s="61">
        <f t="shared" si="243"/>
        <v>11.08</v>
      </c>
      <c r="CC262" s="61">
        <f t="shared" si="244"/>
        <v>4.9820634920634914</v>
      </c>
      <c r="CD262" s="14"/>
      <c r="CE262" s="35">
        <f t="shared" ref="CE262:CE271" si="285">CF262-DY262*2</f>
        <v>0.75868469785673831</v>
      </c>
      <c r="CF262" s="15">
        <f t="shared" si="245"/>
        <v>0.88500000000004775</v>
      </c>
      <c r="CG262" s="35">
        <f t="shared" ref="CG262:CG271" si="286">CF262+DY262*2</f>
        <v>1.0113153021433572</v>
      </c>
      <c r="CI262" s="14"/>
      <c r="CJ262" s="17">
        <f t="shared" ref="CJ262:CJ271" si="287">CA262-2*(CB262-CM262)</f>
        <v>-12.819999999999999</v>
      </c>
      <c r="CK262" s="17">
        <f t="shared" ref="CK262:CK271" si="288">CM262-(CB262-CA262)</f>
        <v>-6.0099999999999989</v>
      </c>
      <c r="CL262" s="17">
        <f t="shared" ref="CL262:CL271" si="289">2*CM262-CB262</f>
        <v>-2.5399999999999991</v>
      </c>
      <c r="CM262" s="38">
        <f t="shared" si="246"/>
        <v>4.2700000000000005</v>
      </c>
      <c r="CN262" s="17">
        <f t="shared" ref="CN262:CN271" si="290">2*CM262-CA262</f>
        <v>7.7400000000000011</v>
      </c>
      <c r="CO262" s="17">
        <f t="shared" ref="CO262:CO271" si="291">CM262+(CB262-CA262)</f>
        <v>14.55</v>
      </c>
      <c r="CP262" s="17">
        <f t="shared" ref="CP262:CP271" si="292">CB262+2*(CM262-CA262)</f>
        <v>18.020000000000003</v>
      </c>
      <c r="CQ262" s="2" cm="1">
        <f t="array" aca="1" ref="CQ262" ca="1">MAX(_xlfn._xlws.FILTER(CJ262:CP262,CJ262:CP262&lt;BL262))</f>
        <v>-2.5399999999999991</v>
      </c>
      <c r="CR262" s="2" cm="1">
        <f t="array" aca="1" ref="CR262" ca="1">MIN(_xlfn._xlws.FILTER($CJ262:$CP262,$CJ262:$CP262&gt;BL262))</f>
        <v>4.2700000000000005</v>
      </c>
      <c r="CS262" s="16">
        <f t="shared" ref="CS262:CS271" ca="1" si="293">(CR262/CQ262)-1</f>
        <v>-2.681102362204725</v>
      </c>
      <c r="CT262" s="20">
        <f t="shared" ref="CT262:CT271" ca="1" si="294">-$CS262/2</f>
        <v>1.3405511811023625</v>
      </c>
      <c r="CU262" s="20">
        <f t="shared" ref="CU262:CU271" ca="1" si="295">-$CS262/3</f>
        <v>0.89370078740157499</v>
      </c>
      <c r="CV262" s="20">
        <f t="shared" ref="CV262:CV271" ca="1" si="296">-$CS262/5</f>
        <v>0.53622047244094495</v>
      </c>
      <c r="CW262" s="20">
        <f t="shared" ref="CW262:CW271" ca="1" si="297">-$CS262/9</f>
        <v>0.29790026246719165</v>
      </c>
      <c r="CX262" s="20">
        <f t="shared" ca="1" si="270"/>
        <v>0.15771190365910148</v>
      </c>
      <c r="CY262" s="20">
        <f t="shared" ca="1" si="271"/>
        <v>8.124552612741591E-2</v>
      </c>
      <c r="CZ262" s="20">
        <f t="shared" ca="1" si="272"/>
        <v>4.1247728649303463E-2</v>
      </c>
      <c r="DA262" s="21">
        <f t="shared" ca="1" si="273"/>
        <v>-4.1247728649303463E-2</v>
      </c>
      <c r="DB262" s="21">
        <f t="shared" ca="1" si="274"/>
        <v>-8.124552612741591E-2</v>
      </c>
      <c r="DC262" s="21">
        <f t="shared" ca="1" si="275"/>
        <v>-0.15771190365910148</v>
      </c>
      <c r="DD262" s="21">
        <f t="shared" ref="DD262:DD271" ca="1" si="298">-$CS262/9*-1</f>
        <v>-0.29790026246719165</v>
      </c>
      <c r="DE262" s="21">
        <f t="shared" ref="DE262:DE271" ca="1" si="299">-$CS262/5*-1</f>
        <v>-0.53622047244094495</v>
      </c>
      <c r="DF262" s="21">
        <f t="shared" ref="DF262:DF271" ca="1" si="300">-$CS262/3*-1</f>
        <v>-0.89370078740157499</v>
      </c>
      <c r="DG262" s="21">
        <f t="shared" ref="DG262:DG271" ca="1" si="301">-$CS262/2*-1</f>
        <v>-1.3405511811023625</v>
      </c>
      <c r="DI262" s="16" cm="1">
        <f t="array" aca="1" ref="DI262" ca="1">MAX(_xlfn._xlws.FILTER(CT262:DG262,CT262:DG262&lt;BR262))</f>
        <v>-8.124552612741591E-2</v>
      </c>
      <c r="DJ262" s="16" cm="1">
        <f t="array" aca="1" ref="DJ262" ca="1">MIN(_xlfn._xlws.FILTER(CT262:DG262,CT262:DG262&gt;BR262))</f>
        <v>-4.1247728649303463E-2</v>
      </c>
      <c r="DK262" s="2" cm="1">
        <f t="array" aca="1" ref="DK262" ca="1">_FV(EC262,"Fechamento anterior",TRUE)</f>
        <v>0.85</v>
      </c>
      <c r="DL262" s="28">
        <f t="shared" ref="DL262:DL271" ca="1" si="302">(BL262-DM262)/(DN262-DM262)</f>
        <v>0.56058078517750876</v>
      </c>
      <c r="DM262" s="15">
        <f t="shared" ca="1" si="283"/>
        <v>0.78094130279169649</v>
      </c>
      <c r="DN262" s="15">
        <f t="shared" ca="1" si="284"/>
        <v>0.81493943064809204</v>
      </c>
      <c r="DO262" s="9"/>
      <c r="DP262" s="9"/>
      <c r="DQ262" s="9"/>
      <c r="DR262" s="89">
        <v>8.1795208733447908E-2</v>
      </c>
      <c r="DS262" s="89">
        <v>4.1424146629626082E-2</v>
      </c>
      <c r="DT262" s="89">
        <v>8.4304374870412632E-2</v>
      </c>
      <c r="DU262" s="89">
        <v>4.0874848422018238E-2</v>
      </c>
      <c r="DV262" s="89">
        <f t="shared" ref="DV262:DV271" ca="1" si="303">DJ262-DI262</f>
        <v>3.9997797478112447E-2</v>
      </c>
      <c r="DW262" s="72">
        <f t="shared" ref="DW262:DW271" ca="1" si="304">(BL262-CF262)/(CF262-CE262)</f>
        <v>-0.67291926281118353</v>
      </c>
      <c r="DX262" s="37"/>
      <c r="DY262" s="35">
        <f t="shared" si="247"/>
        <v>6.3157651071654691E-2</v>
      </c>
      <c r="DZ262" s="56"/>
      <c r="EA262" s="56"/>
      <c r="EC262" s="2" t="e" vm="264">
        <v>#VALUE!</v>
      </c>
      <c r="EE262" s="10" cm="1">
        <f t="array" aca="1" ref="EE262" ca="1">_FV(EC262,"Ações em circulação",TRUE)</f>
        <v>896039700</v>
      </c>
      <c r="EF262" s="18">
        <f>VLOOKUP(BM262,Fundamentus!A:U,5,FALSE)</f>
        <v>4.4999999999999998E-2</v>
      </c>
      <c r="EG262" s="2">
        <f t="shared" ref="EG262:EG271" ca="1" si="305">(BL262*EE262)/EF262</f>
        <v>15929594666.666668</v>
      </c>
      <c r="EH262" s="17">
        <v>9360229826.1333351</v>
      </c>
      <c r="EI262" s="17">
        <f t="shared" ref="EI262:EI271" ca="1" si="306">EG262*EU262</f>
        <v>9360229826.1333351</v>
      </c>
      <c r="EK262" s="16">
        <f t="shared" ca="1" si="282"/>
        <v>0</v>
      </c>
      <c r="EL262" s="32" t="str">
        <f>IF(VLOOKUP(BM262,Fundamentus!A:U,3,FALSE)&lt;15,"Bom",IF(VLOOKUP(BM262,Fundamentus!A:U,3,FALSE)&gt;15,"Ruim","n/a"))</f>
        <v>Bom</v>
      </c>
      <c r="EM262" s="28" t="str">
        <f>IF(VLOOKUP(BM262,Fundamentus!A:U,4,FALSE)&lt;1,"Baixo",IF(VLOOKUP(BM262,Fundamentus!A:U,4,FALSE)&lt;1.5,"Moderado",IF(VLOOKUP(BM262,Fundamentus!A:U,4,FALSE)&gt;1.5,"Alto","n/a")))</f>
        <v>Baixo</v>
      </c>
      <c r="EN262" s="17" t="str">
        <f>IF(VLOOKUP(BM262,Fundamentus!A:U,8,FALSE)&lt;0,"Risco elevado",IF(VLOOKUP(BM262,Fundamentus!A:U,8,FALSE)&lt;1,"Saudável",IF(VLOOKUP(BM262,Fundamentus!A:U,8,FALSE)&lt;3,"Estável",IF(VLOOKUP(BM262,Fundamentus!A:U,8,FALSE)&gt;3,"Alerta","n/a"))))</f>
        <v>Risco elevado</v>
      </c>
      <c r="EO262" s="28" t="str">
        <f t="shared" ref="EO262:EO271" si="307">IF(EF262&gt;1,"Bom","Ruim")</f>
        <v>Ruim</v>
      </c>
      <c r="EP262" s="17" t="str">
        <f>IF(VLOOKUP(BM262,Fundamentus!A:U,12,FALSE)&lt;2,"Subvalorizada",IF(VLOOKUP(BM262,Fundamentus!A:U,12,FALSE)&lt;6,"Muita barata",IF(VLOOKUP(BM262,Fundamentus!A:U,12,FALSE)&lt;6,"Barata",IF(VLOOKUP(BM262,Fundamentus!A:U,12,FALSE)&lt;8,"Atrativa",IF(VLOOKUP(BM262,Fundamentus!A:U,12,FALSE)&gt;8,"Supervalorizada","n/a")))))</f>
        <v>Muita barata</v>
      </c>
      <c r="ER262" s="17" t="str">
        <f>IF(VLOOKUP(BM262,Fundamentus!A:U,17,FALSE)&lt;0.1,"Fraco retorno",IF(VLOOKUP(BM262,Fundamentus!A:U,17,FALSE)&gt;0.1,"Bom retorno","n/a"))</f>
        <v>Fraco retorno</v>
      </c>
      <c r="ES262" s="17" t="str">
        <f>IF(VLOOKUP(BM262,Fundamentus!A:U,16,FALSE)&lt;0.1,"Ineficiente",IF(VLOOKUP(BM262,Fundamentus!A:U,16,FALSE)&gt;0.1,"Eficiente","n/a"))</f>
        <v>Eficiente</v>
      </c>
      <c r="ET262" s="33" t="str">
        <f>IF(VLOOKUP(BM262,Fundamentus!A:U,16,FALSE)&lt;0.1,"Oper. Ineficiente",IF(VLOOKUP(BM262,Fundamentus!A:U,16,FALSE)&gt;0.1,"Oper.Eficiente","n/a"))</f>
        <v>Oper.Eficiente</v>
      </c>
      <c r="EU262" s="34">
        <f>VLOOKUP(BM262,Fundamentus!A:U,14,FALSE)</f>
        <v>0.58760000000000001</v>
      </c>
      <c r="EV262" s="17" t="str">
        <f>IF(VLOOKUP(BM262,Fundamentus!A:U,21,FALSE)&lt;0,"Negativo",IF(VLOOKUP(BM262,Fundamentus!A:U,21,FALSE)&lt;0.05,"Fraco",IF(VLOOKUP(BM262,Fundamentus!A:U,21,FALSE)&lt;0.1,"Bom",IF(VLOOKUP(BM262,Fundamentus!A:U,21,FALSE)&gt;0.1,"Muito bom","n/a"))))</f>
        <v>Muito bom</v>
      </c>
      <c r="EX262" s="29" t="str">
        <f>IF(VLOOKUP(BM262,Fundamentus!A:U,15,FALSE)&gt;1,"Bom",IF(VLOOKUP(BM262,Fundamentus!A:U,15,FALSE)&lt;1,"Ruim","n/a"))</f>
        <v>Ruim</v>
      </c>
      <c r="EY262" s="17" t="str">
        <f>IF(VLOOKUP(BM262,Fundamentus!A:U,20,FALSE)&lt;0.5,"Baixa",IF(VLOOKUP(BM262,Fundamentus!A:U,20,FALSE)&lt;1,"Moderada",IF(VLOOKUP(BM262,Fundamentus!A:U,20,FALSE)&lt;2,"Alerta",IF(VLOOKUP(BM262,Fundamentus!A:U,20,FALSE)&gt;2,"Alta","n/a"))))</f>
        <v>Baixa</v>
      </c>
    </row>
    <row r="263" spans="1:155" s="2" customFormat="1" ht="11.25" x14ac:dyDescent="0.2">
      <c r="A263" s="4">
        <v>8.6</v>
      </c>
      <c r="B263" s="4">
        <v>8.83</v>
      </c>
      <c r="C263" s="4">
        <v>8.75</v>
      </c>
      <c r="D263" s="4">
        <v>8.44</v>
      </c>
      <c r="E263" s="4">
        <v>8.2100000000000009</v>
      </c>
      <c r="F263" s="4">
        <v>8</v>
      </c>
      <c r="G263" s="4">
        <v>7.58</v>
      </c>
      <c r="H263" s="4">
        <v>6.92</v>
      </c>
      <c r="I263" s="4">
        <v>6.32</v>
      </c>
      <c r="J263" s="4">
        <v>6.55</v>
      </c>
      <c r="K263" s="4">
        <v>6.54</v>
      </c>
      <c r="L263" s="4">
        <v>6.65</v>
      </c>
      <c r="M263" s="4">
        <v>6.67</v>
      </c>
      <c r="N263" s="4">
        <v>6.58</v>
      </c>
      <c r="O263" s="4">
        <v>6.5</v>
      </c>
      <c r="P263" s="4">
        <v>7.61</v>
      </c>
      <c r="Q263" s="4">
        <v>8.01</v>
      </c>
      <c r="R263" s="4">
        <v>8.81</v>
      </c>
      <c r="S263" s="4">
        <v>8.01</v>
      </c>
      <c r="T263" s="4">
        <v>6.3</v>
      </c>
      <c r="U263" s="4">
        <v>5.4</v>
      </c>
      <c r="V263" s="4">
        <v>5.03</v>
      </c>
      <c r="W263" s="4">
        <v>5.5</v>
      </c>
      <c r="X263" s="4">
        <v>5.68</v>
      </c>
      <c r="Y263" s="4">
        <v>5.62</v>
      </c>
      <c r="Z263" s="4">
        <v>5.48</v>
      </c>
      <c r="AA263" s="4">
        <v>4.95</v>
      </c>
      <c r="AB263" s="4">
        <v>5.29</v>
      </c>
      <c r="AC263" s="4">
        <v>5.09</v>
      </c>
      <c r="AD263" s="4">
        <v>4.53</v>
      </c>
      <c r="AE263" s="4">
        <v>3.92</v>
      </c>
      <c r="AF263" s="4">
        <v>3.53</v>
      </c>
      <c r="AG263" s="4">
        <v>2.85</v>
      </c>
      <c r="AH263" s="4">
        <v>2.86</v>
      </c>
      <c r="AI263" s="4">
        <v>2.96</v>
      </c>
      <c r="AJ263" s="4">
        <v>3.07</v>
      </c>
      <c r="AK263" s="4">
        <v>3.15</v>
      </c>
      <c r="AL263" s="4">
        <v>3.29</v>
      </c>
      <c r="AM263" s="4">
        <v>3.25</v>
      </c>
      <c r="AN263" s="4">
        <v>3.43</v>
      </c>
      <c r="AO263" s="4">
        <v>3.58</v>
      </c>
      <c r="AP263" s="4">
        <v>3.73</v>
      </c>
      <c r="AQ263" s="4">
        <v>3.84</v>
      </c>
      <c r="AR263" s="4">
        <v>3.83</v>
      </c>
      <c r="AS263" s="4">
        <v>3.64</v>
      </c>
      <c r="AT263" s="4">
        <v>3.67</v>
      </c>
      <c r="AU263" s="4">
        <v>3.5049999999999999</v>
      </c>
      <c r="AV263" s="4">
        <v>3.67</v>
      </c>
      <c r="AW263" s="4">
        <v>3.45</v>
      </c>
      <c r="AX263" s="4">
        <v>3.38</v>
      </c>
      <c r="AY263" s="12">
        <v>3.74</v>
      </c>
      <c r="AZ263" s="12">
        <v>3.71</v>
      </c>
      <c r="BA263" s="12">
        <v>3.86</v>
      </c>
      <c r="BB263" s="15">
        <v>5.01</v>
      </c>
      <c r="BC263" s="52">
        <v>4.96</v>
      </c>
      <c r="BD263" s="52">
        <v>6.74</v>
      </c>
      <c r="BE263" s="52">
        <v>7.97</v>
      </c>
      <c r="BF263" s="52">
        <v>7.93</v>
      </c>
      <c r="BG263" s="67">
        <v>7.76</v>
      </c>
      <c r="BH263" s="52">
        <v>7.36</v>
      </c>
      <c r="BI263" s="52">
        <v>7.01</v>
      </c>
      <c r="BJ263" s="52">
        <v>6.62</v>
      </c>
      <c r="BK263" s="52">
        <v>5.16</v>
      </c>
      <c r="BL263" s="52" cm="1">
        <f t="array" aca="1" ref="BL263" ca="1">_FV(EC263,"Preço")</f>
        <v>5.16</v>
      </c>
      <c r="BM263" s="69" t="s">
        <v>259</v>
      </c>
      <c r="BN263" s="36" cm="1">
        <f t="array" aca="1" ref="BN263" ca="1">_FV(EC263,"Média de volume",TRUE)</f>
        <v>11170</v>
      </c>
      <c r="BO263" s="36">
        <v>16900</v>
      </c>
      <c r="BP263" s="36" cm="1">
        <f t="array" aca="1" ref="BP263" ca="1">_FV(EC263,"Volume")</f>
        <v>16900</v>
      </c>
      <c r="BQ263" s="24" cm="1">
        <f t="array" aca="1" ref="BQ263" ca="1">_FV(EC263,"Beta")</f>
        <v>1.6617999999999999</v>
      </c>
      <c r="BR263" s="71" cm="1">
        <f t="array" aca="1" ref="BR263" ca="1">_FV(EC263,"Variação (%)",TRUE)</f>
        <v>-1.7142999999999999E-2</v>
      </c>
      <c r="BT263" s="17" cm="1">
        <f t="array" aca="1" ref="BT263" ca="1">_FV(EC263,"Baixo")</f>
        <v>4.95</v>
      </c>
      <c r="BU263" s="17" cm="1">
        <f t="array" aca="1" ref="BU263" ca="1">_FV(EC263,"Alto")</f>
        <v>5.17</v>
      </c>
      <c r="BV263" s="24"/>
      <c r="BW263" s="63">
        <f ca="1">SQRT(22.5*(BL263/VLOOKUP(BM263,Fundamentus!A:U,3,FALSE))*(BL263/VLOOKUP(BM263,Fundamentus!A:U,4,FALSE)))</f>
        <v>10.018882343760506</v>
      </c>
      <c r="BY263" s="62">
        <f t="shared" ref="BY263:BY271" ca="1" si="308">(BL263 - BK263) / BK263</f>
        <v>0</v>
      </c>
      <c r="BZ263" s="8"/>
      <c r="CA263" s="61">
        <f t="shared" ref="CA263:CA271" si="309">MIN(A263:BK263)</f>
        <v>2.85</v>
      </c>
      <c r="CB263" s="61">
        <f t="shared" ref="CB263:CB271" si="310">MAX(A263:BK263)</f>
        <v>8.83</v>
      </c>
      <c r="CC263" s="61">
        <f t="shared" ref="CC263:CC271" si="311">AVERAGE(A263:BK263)</f>
        <v>5.5378571428571437</v>
      </c>
      <c r="CD263" s="14"/>
      <c r="CE263" s="35">
        <f t="shared" si="285"/>
        <v>4.3444647488529471</v>
      </c>
      <c r="CF263" s="15">
        <f t="shared" ref="CF263:CF271" si="312">FORECAST("04/07/2025", BH263:BK263, $BH$5:$BK$5)</f>
        <v>6.1880000000001019</v>
      </c>
      <c r="CG263" s="35">
        <f t="shared" si="286"/>
        <v>8.0315352511472575</v>
      </c>
      <c r="CI263" s="14"/>
      <c r="CJ263" s="17">
        <f t="shared" si="287"/>
        <v>-2.609999999999999</v>
      </c>
      <c r="CK263" s="17">
        <f t="shared" si="288"/>
        <v>0.12000000000000011</v>
      </c>
      <c r="CL263" s="17">
        <f t="shared" si="289"/>
        <v>3.370000000000001</v>
      </c>
      <c r="CM263" s="38">
        <f t="shared" ref="CM263:CM271" si="313">(CB263+CA263+BJ263)/3</f>
        <v>6.1000000000000005</v>
      </c>
      <c r="CN263" s="17">
        <f t="shared" si="290"/>
        <v>9.3500000000000014</v>
      </c>
      <c r="CO263" s="17">
        <f t="shared" si="291"/>
        <v>12.080000000000002</v>
      </c>
      <c r="CP263" s="17">
        <f t="shared" si="292"/>
        <v>15.330000000000002</v>
      </c>
      <c r="CQ263" s="2" cm="1">
        <f t="array" aca="1" ref="CQ263" ca="1">MAX(_xlfn._xlws.FILTER(CJ263:CP263,CJ263:CP263&lt;BL263))</f>
        <v>3.370000000000001</v>
      </c>
      <c r="CR263" s="2" cm="1">
        <f t="array" aca="1" ref="CR263" ca="1">MIN(_xlfn._xlws.FILTER($CJ263:$CP263,$CJ263:$CP263&gt;BL263))</f>
        <v>6.1000000000000005</v>
      </c>
      <c r="CS263" s="16">
        <f t="shared" ca="1" si="293"/>
        <v>0.81008902077151301</v>
      </c>
      <c r="CT263" s="20">
        <f t="shared" ca="1" si="294"/>
        <v>-0.40504451038575651</v>
      </c>
      <c r="CU263" s="20">
        <f t="shared" ca="1" si="295"/>
        <v>-0.27002967359050434</v>
      </c>
      <c r="CV263" s="20">
        <f t="shared" ca="1" si="296"/>
        <v>-0.16201780415430261</v>
      </c>
      <c r="CW263" s="20">
        <f t="shared" ca="1" si="297"/>
        <v>-9.0009891196834779E-2</v>
      </c>
      <c r="CX263" s="20">
        <f t="shared" ca="1" si="270"/>
        <v>-4.7652295339500765E-2</v>
      </c>
      <c r="CY263" s="20">
        <f t="shared" ca="1" si="271"/>
        <v>-2.4548152144591304E-2</v>
      </c>
      <c r="CZ263" s="20">
        <f t="shared" ca="1" si="272"/>
        <v>-1.2462908011869431E-2</v>
      </c>
      <c r="DA263" s="21">
        <f t="shared" ca="1" si="273"/>
        <v>1.2462908011869431E-2</v>
      </c>
      <c r="DB263" s="21">
        <f t="shared" ca="1" si="274"/>
        <v>2.4548152144591304E-2</v>
      </c>
      <c r="DC263" s="21">
        <f t="shared" ca="1" si="275"/>
        <v>4.7652295339500765E-2</v>
      </c>
      <c r="DD263" s="21">
        <f t="shared" ca="1" si="298"/>
        <v>9.0009891196834779E-2</v>
      </c>
      <c r="DE263" s="21">
        <f t="shared" ca="1" si="299"/>
        <v>0.16201780415430261</v>
      </c>
      <c r="DF263" s="21">
        <f t="shared" ca="1" si="300"/>
        <v>0.27002967359050434</v>
      </c>
      <c r="DG263" s="21">
        <f t="shared" ca="1" si="301"/>
        <v>0.40504451038575651</v>
      </c>
      <c r="DI263" s="16" cm="1">
        <f t="array" aca="1" ref="DI263" ca="1">MAX(_xlfn._xlws.FILTER(CT263:DG263,CT263:DG263&lt;BR263))</f>
        <v>-2.4548152144591304E-2</v>
      </c>
      <c r="DJ263" s="16" cm="1">
        <f t="array" aca="1" ref="DJ263" ca="1">MIN(_xlfn._xlws.FILTER(CT263:DG263,CT263:DG263&gt;BR263))</f>
        <v>-1.2462908011869431E-2</v>
      </c>
      <c r="DK263" s="2" cm="1">
        <f t="array" aca="1" ref="DK263" ca="1">_FV(EC263,"Fechamento anterior",TRUE)</f>
        <v>5.25</v>
      </c>
      <c r="DL263" s="28">
        <f t="shared" ca="1" si="302"/>
        <v>0.61275510204081851</v>
      </c>
      <c r="DM263" s="15">
        <f t="shared" ca="1" si="283"/>
        <v>5.1211222012408957</v>
      </c>
      <c r="DN263" s="15">
        <f t="shared" ca="1" si="284"/>
        <v>5.1845697329376854</v>
      </c>
      <c r="DO263" s="9"/>
      <c r="DP263" s="9"/>
      <c r="DQ263" s="9"/>
      <c r="DR263" s="89">
        <v>1.7796995903504781E-2</v>
      </c>
      <c r="DS263" s="89">
        <v>2.9290728637133862E-2</v>
      </c>
      <c r="DT263" s="89">
        <v>2.7858137790635382E-2</v>
      </c>
      <c r="DU263" s="89">
        <v>1.2085244132721874E-2</v>
      </c>
      <c r="DV263" s="89">
        <f t="shared" ca="1" si="303"/>
        <v>1.2085244132721874E-2</v>
      </c>
      <c r="DW263" s="72">
        <f t="shared" ca="1" si="304"/>
        <v>-0.55762427073766041</v>
      </c>
      <c r="DX263" s="37"/>
      <c r="DY263" s="35">
        <f t="shared" ref="DY263:DY271" si="314">_xlfn.STDEV.P(BF263:BK263)</f>
        <v>0.9217676255735775</v>
      </c>
      <c r="DZ263" s="56"/>
      <c r="EA263" s="56"/>
      <c r="EC263" s="2" t="e" vm="265">
        <v>#VALUE!</v>
      </c>
      <c r="EE263" s="10" cm="1">
        <f t="array" aca="1" ref="EE263" ca="1">_FV(EC263,"Ações em circulação",TRUE)</f>
        <v>13321980</v>
      </c>
      <c r="EF263" s="18">
        <f>VLOOKUP(BM263,Fundamentus!A:U,5,FALSE)</f>
        <v>0.63700000000000001</v>
      </c>
      <c r="EG263" s="2">
        <f t="shared" ca="1" si="305"/>
        <v>107914312.08791208</v>
      </c>
      <c r="EH263" s="17">
        <v>-4834561.1815384617</v>
      </c>
      <c r="EI263" s="17">
        <f t="shared" ca="1" si="306"/>
        <v>-4834561.1815384617</v>
      </c>
      <c r="EK263" s="16">
        <f t="shared" ca="1" si="282"/>
        <v>0</v>
      </c>
      <c r="EL263" s="32" t="str">
        <f>IF(VLOOKUP(BM263,Fundamentus!A:U,3,FALSE)&lt;15,"Bom",IF(VLOOKUP(BM263,Fundamentus!A:U,3,FALSE)&gt;15,"Ruim","n/a"))</f>
        <v>Bom</v>
      </c>
      <c r="EM263" s="28" t="str">
        <f>IF(VLOOKUP(BM263,Fundamentus!A:U,4,FALSE)&lt;1,"Baixo",IF(VLOOKUP(BM263,Fundamentus!A:U,4,FALSE)&lt;1.5,"Moderado",IF(VLOOKUP(BM263,Fundamentus!A:U,4,FALSE)&gt;1.5,"Alto","n/a")))</f>
        <v>Baixo</v>
      </c>
      <c r="EN263" s="17" t="str">
        <f>IF(VLOOKUP(BM263,Fundamentus!A:U,8,FALSE)&lt;0,"Risco elevado",IF(VLOOKUP(BM263,Fundamentus!A:U,8,FALSE)&lt;1,"Saudável",IF(VLOOKUP(BM263,Fundamentus!A:U,8,FALSE)&lt;3,"Estável",IF(VLOOKUP(BM263,Fundamentus!A:U,8,FALSE)&gt;3,"Alerta","n/a"))))</f>
        <v>Risco elevado</v>
      </c>
      <c r="EO263" s="28" t="str">
        <f t="shared" si="307"/>
        <v>Ruim</v>
      </c>
      <c r="EP263" s="17" t="str">
        <f>IF(VLOOKUP(BM263,Fundamentus!A:U,12,FALSE)&lt;2,"Subvalorizada",IF(VLOOKUP(BM263,Fundamentus!A:U,12,FALSE)&lt;6,"Muita barata",IF(VLOOKUP(BM263,Fundamentus!A:U,12,FALSE)&lt;6,"Barata",IF(VLOOKUP(BM263,Fundamentus!A:U,12,FALSE)&lt;8,"Atrativa",IF(VLOOKUP(BM263,Fundamentus!A:U,12,FALSE)&gt;8,"Supervalorizada","n/a")))))</f>
        <v>Muita barata</v>
      </c>
      <c r="ER263" s="17" t="str">
        <f>IF(VLOOKUP(BM263,Fundamentus!A:U,17,FALSE)&lt;0.1,"Fraco retorno",IF(VLOOKUP(BM263,Fundamentus!A:U,17,FALSE)&gt;0.1,"Bom retorno","n/a"))</f>
        <v>Fraco retorno</v>
      </c>
      <c r="ES263" s="17" t="str">
        <f>IF(VLOOKUP(BM263,Fundamentus!A:U,16,FALSE)&lt;0.1,"Ineficiente",IF(VLOOKUP(BM263,Fundamentus!A:U,16,FALSE)&gt;0.1,"Eficiente","n/a"))</f>
        <v>Ineficiente</v>
      </c>
      <c r="ET263" s="33" t="str">
        <f>IF(VLOOKUP(BM263,Fundamentus!A:U,16,FALSE)&lt;0.1,"Oper. Ineficiente",IF(VLOOKUP(BM263,Fundamentus!A:U,16,FALSE)&gt;0.1,"Oper.Eficiente","n/a"))</f>
        <v>Oper. Ineficiente</v>
      </c>
      <c r="EU263" s="34">
        <f>VLOOKUP(BM263,Fundamentus!A:U,14,FALSE)</f>
        <v>-4.48E-2</v>
      </c>
      <c r="EV263" s="17" t="str">
        <f>IF(VLOOKUP(BM263,Fundamentus!A:U,21,FALSE)&lt;0,"Negativo",IF(VLOOKUP(BM263,Fundamentus!A:U,21,FALSE)&lt;0.05,"Fraco",IF(VLOOKUP(BM263,Fundamentus!A:U,21,FALSE)&lt;0.1,"Bom",IF(VLOOKUP(BM263,Fundamentus!A:U,21,FALSE)&gt;0.1,"Muito bom","n/a"))))</f>
        <v>Bom</v>
      </c>
      <c r="EX263" s="29" t="str">
        <f>IF(VLOOKUP(BM263,Fundamentus!A:U,15,FALSE)&gt;1,"Bom",IF(VLOOKUP(BM263,Fundamentus!A:U,15,FALSE)&lt;1,"Ruim","n/a"))</f>
        <v>Ruim</v>
      </c>
      <c r="EY263" s="17" t="str">
        <f>IF(VLOOKUP(BM263,Fundamentus!A:U,20,FALSE)&lt;0.5,"Baixa",IF(VLOOKUP(BM263,Fundamentus!A:U,20,FALSE)&lt;1,"Moderada",IF(VLOOKUP(BM263,Fundamentus!A:U,20,FALSE)&lt;2,"Alerta",IF(VLOOKUP(BM263,Fundamentus!A:U,20,FALSE)&gt;2,"Alta","n/a"))))</f>
        <v>Baixa</v>
      </c>
    </row>
    <row r="264" spans="1:155" s="2" customFormat="1" ht="11.25" x14ac:dyDescent="0.2">
      <c r="A264" s="4">
        <v>2.73</v>
      </c>
      <c r="B264" s="4">
        <v>2.7</v>
      </c>
      <c r="C264" s="4">
        <v>2.58</v>
      </c>
      <c r="D264" s="4">
        <v>2.6</v>
      </c>
      <c r="E264" s="4">
        <v>2.52</v>
      </c>
      <c r="F264" s="4">
        <v>2.5099999999999998</v>
      </c>
      <c r="G264" s="4">
        <v>2.46</v>
      </c>
      <c r="H264" s="4">
        <v>2.39</v>
      </c>
      <c r="I264" s="4">
        <v>2.38</v>
      </c>
      <c r="J264" s="4">
        <v>2.42</v>
      </c>
      <c r="K264" s="4">
        <v>2.41</v>
      </c>
      <c r="L264" s="4">
        <v>2.4300000000000002</v>
      </c>
      <c r="M264" s="4">
        <v>2.4</v>
      </c>
      <c r="N264" s="4">
        <v>2.3199999999999998</v>
      </c>
      <c r="O264" s="4">
        <v>2.2400000000000002</v>
      </c>
      <c r="P264" s="4">
        <v>2.06</v>
      </c>
      <c r="Q264" s="4">
        <v>1.95</v>
      </c>
      <c r="R264" s="4">
        <v>1.85</v>
      </c>
      <c r="S264" s="4">
        <v>1.76</v>
      </c>
      <c r="T264" s="4">
        <v>1.76</v>
      </c>
      <c r="U264" s="4">
        <v>1.82</v>
      </c>
      <c r="V264" s="4">
        <v>1.63</v>
      </c>
      <c r="W264" s="4">
        <v>1.38</v>
      </c>
      <c r="X264" s="4">
        <v>1.37</v>
      </c>
      <c r="Y264" s="4">
        <v>1.19</v>
      </c>
      <c r="Z264" s="4">
        <v>1.0900000000000001</v>
      </c>
      <c r="AA264" s="4">
        <v>1.0900000000000001</v>
      </c>
      <c r="AB264" s="4">
        <v>1.05</v>
      </c>
      <c r="AC264" s="4">
        <v>1.08</v>
      </c>
      <c r="AD264" s="4">
        <v>1.01</v>
      </c>
      <c r="AE264" s="4">
        <v>0.99</v>
      </c>
      <c r="AF264" s="4">
        <v>1</v>
      </c>
      <c r="AG264" s="4">
        <v>1</v>
      </c>
      <c r="AH264" s="4">
        <v>0.97</v>
      </c>
      <c r="AI264" s="4">
        <v>1.03</v>
      </c>
      <c r="AJ264" s="4">
        <v>1.1200000000000001</v>
      </c>
      <c r="AK264" s="4">
        <v>1.28</v>
      </c>
      <c r="AL264" s="4">
        <v>1.34</v>
      </c>
      <c r="AM264" s="4">
        <v>1.22</v>
      </c>
      <c r="AN264" s="4">
        <v>1.0900000000000001</v>
      </c>
      <c r="AO264" s="4">
        <v>1.1000000000000001</v>
      </c>
      <c r="AP264" s="4">
        <v>1.19</v>
      </c>
      <c r="AQ264" s="4">
        <v>1.1000000000000001</v>
      </c>
      <c r="AR264" s="4">
        <v>1.07</v>
      </c>
      <c r="AS264" s="4">
        <v>1.04</v>
      </c>
      <c r="AT264" s="4">
        <v>1.07</v>
      </c>
      <c r="AU264" s="4">
        <v>1.05</v>
      </c>
      <c r="AV264" s="4">
        <v>1.04</v>
      </c>
      <c r="AW264" s="4">
        <v>1.5</v>
      </c>
      <c r="AX264" s="4">
        <v>2.0299999999999998</v>
      </c>
      <c r="AY264" s="12">
        <v>2.2000000000000002</v>
      </c>
      <c r="AZ264" s="12">
        <v>2.2000000000000002</v>
      </c>
      <c r="BA264" s="12">
        <v>2.1800000000000002</v>
      </c>
      <c r="BB264" s="15">
        <v>2.12</v>
      </c>
      <c r="BC264" s="52">
        <v>2.16</v>
      </c>
      <c r="BD264" s="52">
        <v>2.11</v>
      </c>
      <c r="BE264" s="52">
        <v>2.2200000000000002</v>
      </c>
      <c r="BF264" s="52">
        <v>2.15</v>
      </c>
      <c r="BG264" s="67">
        <v>1.92</v>
      </c>
      <c r="BH264" s="52">
        <v>1.88</v>
      </c>
      <c r="BI264" s="52">
        <v>1.82</v>
      </c>
      <c r="BJ264" s="52">
        <v>1.7</v>
      </c>
      <c r="BK264" s="52">
        <v>1.67</v>
      </c>
      <c r="BL264" s="52" cm="1">
        <f t="array" aca="1" ref="BL264" ca="1">_FV(EC264,"Preço")</f>
        <v>1.67</v>
      </c>
      <c r="BM264" s="69" t="s">
        <v>260</v>
      </c>
      <c r="BN264" s="36" cm="1">
        <f t="array" aca="1" ref="BN264" ca="1">_FV(EC264,"Média de volume",TRUE)</f>
        <v>296770</v>
      </c>
      <c r="BO264" s="36">
        <v>154100</v>
      </c>
      <c r="BP264" s="36" cm="1">
        <f t="array" aca="1" ref="BP264" ca="1">_FV(EC264,"Volume")</f>
        <v>154100</v>
      </c>
      <c r="BQ264" s="24" cm="1">
        <f t="array" aca="1" ref="BQ264" ca="1">_FV(EC264,"Beta")</f>
        <v>1.3159000000000001</v>
      </c>
      <c r="BR264" s="71" cm="1">
        <f t="array" aca="1" ref="BR264" ca="1">_FV(EC264,"Variação (%)",TRUE)</f>
        <v>-3.4681999999999998E-2</v>
      </c>
      <c r="BT264" s="17" cm="1">
        <f t="array" aca="1" ref="BT264" ca="1">_FV(EC264,"Baixo")</f>
        <v>1.66</v>
      </c>
      <c r="BU264" s="17" cm="1">
        <f t="array" aca="1" ref="BU264" ca="1">_FV(EC264,"Alto")</f>
        <v>1.75</v>
      </c>
      <c r="BV264" s="24"/>
      <c r="BW264" s="63">
        <f ca="1">SQRT(22.5*(BL264/VLOOKUP(BM264,Fundamentus!A:U,3,FALSE))*(BL264/VLOOKUP(BM264,Fundamentus!A:U,4,FALSE)))</f>
        <v>211.7111408094934</v>
      </c>
      <c r="BY264" s="62">
        <f t="shared" ca="1" si="308"/>
        <v>0</v>
      </c>
      <c r="BZ264" s="8"/>
      <c r="CA264" s="61">
        <f t="shared" si="309"/>
        <v>0.97</v>
      </c>
      <c r="CB264" s="61">
        <f t="shared" si="310"/>
        <v>2.73</v>
      </c>
      <c r="CC264" s="61">
        <f t="shared" si="311"/>
        <v>1.7260317460317463</v>
      </c>
      <c r="CD264" s="14"/>
      <c r="CE264" s="35">
        <f t="shared" si="285"/>
        <v>1.4123698866781089</v>
      </c>
      <c r="CF264" s="15">
        <f t="shared" si="312"/>
        <v>1.7300000000000182</v>
      </c>
      <c r="CG264" s="35">
        <f t="shared" si="286"/>
        <v>2.0476301133219272</v>
      </c>
      <c r="CI264" s="14"/>
      <c r="CJ264" s="17">
        <f t="shared" si="287"/>
        <v>-0.8899999999999999</v>
      </c>
      <c r="CK264" s="17">
        <f t="shared" si="288"/>
        <v>4.0000000000000036E-2</v>
      </c>
      <c r="CL264" s="17">
        <f t="shared" si="289"/>
        <v>0.87000000000000011</v>
      </c>
      <c r="CM264" s="38">
        <f t="shared" si="313"/>
        <v>1.8</v>
      </c>
      <c r="CN264" s="17">
        <f t="shared" si="290"/>
        <v>2.63</v>
      </c>
      <c r="CO264" s="17">
        <f t="shared" si="291"/>
        <v>3.56</v>
      </c>
      <c r="CP264" s="17">
        <f t="shared" si="292"/>
        <v>4.3900000000000006</v>
      </c>
      <c r="CQ264" s="2" cm="1">
        <f t="array" aca="1" ref="CQ264" ca="1">MAX(_xlfn._xlws.FILTER(CJ264:CP264,CJ264:CP264&lt;BL264))</f>
        <v>0.87000000000000011</v>
      </c>
      <c r="CR264" s="2" cm="1">
        <f t="array" aca="1" ref="CR264" ca="1">MIN(_xlfn._xlws.FILTER($CJ264:$CP264,$CJ264:$CP264&gt;BL264))</f>
        <v>1.8</v>
      </c>
      <c r="CS264" s="16">
        <f t="shared" ca="1" si="293"/>
        <v>1.068965517241379</v>
      </c>
      <c r="CT264" s="20">
        <f t="shared" ca="1" si="294"/>
        <v>-0.5344827586206895</v>
      </c>
      <c r="CU264" s="20">
        <f t="shared" ca="1" si="295"/>
        <v>-0.35632183908045967</v>
      </c>
      <c r="CV264" s="20">
        <f t="shared" ca="1" si="296"/>
        <v>-0.21379310344827579</v>
      </c>
      <c r="CW264" s="20">
        <f t="shared" ca="1" si="297"/>
        <v>-0.11877394636015322</v>
      </c>
      <c r="CX264" s="20">
        <f t="shared" ref="CX264:CX271" ca="1" si="315">-$CS264/17</f>
        <v>-6.2880324543610533E-2</v>
      </c>
      <c r="CY264" s="20">
        <f t="shared" ref="CY264:CY271" ca="1" si="316">-$CS264/33</f>
        <v>-3.2392894461859972E-2</v>
      </c>
      <c r="CZ264" s="20">
        <f t="shared" ref="CZ264:CZ271" ca="1" si="317">-$CS264/65</f>
        <v>-1.6445623342175062E-2</v>
      </c>
      <c r="DA264" s="21">
        <f t="shared" ref="DA264:DA271" ca="1" si="318">-$CS264/65*-1</f>
        <v>1.6445623342175062E-2</v>
      </c>
      <c r="DB264" s="21">
        <f t="shared" ref="DB264:DB271" ca="1" si="319">-$CS264/33*-1</f>
        <v>3.2392894461859972E-2</v>
      </c>
      <c r="DC264" s="21">
        <f t="shared" ref="DC264:DC271" ca="1" si="320">-$CS264/17*-1</f>
        <v>6.2880324543610533E-2</v>
      </c>
      <c r="DD264" s="21">
        <f t="shared" ca="1" si="298"/>
        <v>0.11877394636015322</v>
      </c>
      <c r="DE264" s="21">
        <f t="shared" ca="1" si="299"/>
        <v>0.21379310344827579</v>
      </c>
      <c r="DF264" s="21">
        <f t="shared" ca="1" si="300"/>
        <v>0.35632183908045967</v>
      </c>
      <c r="DG264" s="21">
        <f t="shared" ca="1" si="301"/>
        <v>0.5344827586206895</v>
      </c>
      <c r="DI264" s="16" cm="1">
        <f t="array" aca="1" ref="DI264" ca="1">MAX(_xlfn._xlws.FILTER(CT264:DG264,CT264:DG264&lt;BR264))</f>
        <v>-6.2880324543610533E-2</v>
      </c>
      <c r="DJ264" s="16" cm="1">
        <f t="array" aca="1" ref="DJ264" ca="1">MIN(_xlfn._xlws.FILTER(CT264:DG264,CT264:DG264&gt;BR264))</f>
        <v>-3.2392894461859972E-2</v>
      </c>
      <c r="DK264" s="2" cm="1">
        <f t="array" aca="1" ref="DK264" ca="1">_FV(EC264,"Fechamento anterior",TRUE)</f>
        <v>1.73</v>
      </c>
      <c r="DL264" s="28">
        <f t="shared" ca="1" si="302"/>
        <v>0.92491376095468858</v>
      </c>
      <c r="DM264" s="15">
        <f t="shared" ca="1" si="283"/>
        <v>1.6212170385395537</v>
      </c>
      <c r="DN264" s="15">
        <f t="shared" ca="1" si="284"/>
        <v>1.6739602925809822</v>
      </c>
      <c r="DO264" s="9"/>
      <c r="DP264" s="9"/>
      <c r="DQ264" s="9"/>
      <c r="DR264" s="89">
        <v>1.5613088159058333E-2</v>
      </c>
      <c r="DS264" s="89">
        <v>1.4837120175198466E-2</v>
      </c>
      <c r="DT264" s="89">
        <v>3.2891246684350124E-2</v>
      </c>
      <c r="DU264" s="89">
        <v>3.0487430081750561E-2</v>
      </c>
      <c r="DV264" s="89">
        <f t="shared" ca="1" si="303"/>
        <v>3.0487430081750561E-2</v>
      </c>
      <c r="DW264" s="72">
        <f t="shared" ca="1" si="304"/>
        <v>-0.18889896607255854</v>
      </c>
      <c r="DX264" s="37"/>
      <c r="DY264" s="35">
        <f t="shared" si="314"/>
        <v>0.15881505666095461</v>
      </c>
      <c r="DZ264" s="56"/>
      <c r="EA264" s="56"/>
      <c r="EC264" s="2" t="e" vm="266">
        <v>#VALUE!</v>
      </c>
      <c r="EE264" s="10" cm="1">
        <f t="array" aca="1" ref="EE264" ca="1">_FV(EC264,"Ações em circulação",TRUE)</f>
        <v>511363900</v>
      </c>
      <c r="EF264" s="18">
        <f>VLOOKUP(BM264,Fundamentus!A:U,5,FALSE)</f>
        <v>0.28000000000000003</v>
      </c>
      <c r="EG264" s="2">
        <f t="shared" ca="1" si="305"/>
        <v>3049920403.5714283</v>
      </c>
      <c r="EH264" s="17">
        <v>-11486610223.930714</v>
      </c>
      <c r="EI264" s="17">
        <f t="shared" ca="1" si="306"/>
        <v>-11486610223.930714</v>
      </c>
      <c r="EK264" s="16">
        <f t="shared" ca="1" si="282"/>
        <v>0</v>
      </c>
      <c r="EL264" s="32" t="str">
        <f>IF(VLOOKUP(BM264,Fundamentus!A:U,3,FALSE)&lt;15,"Bom",IF(VLOOKUP(BM264,Fundamentus!A:U,3,FALSE)&gt;15,"Ruim","n/a"))</f>
        <v>Bom</v>
      </c>
      <c r="EM264" s="28" t="str">
        <f>IF(VLOOKUP(BM264,Fundamentus!A:U,4,FALSE)&lt;1,"Baixo",IF(VLOOKUP(BM264,Fundamentus!A:U,4,FALSE)&lt;1.5,"Moderado",IF(VLOOKUP(BM264,Fundamentus!A:U,4,FALSE)&gt;1.5,"Alto","n/a")))</f>
        <v>Baixo</v>
      </c>
      <c r="EN264" s="17" t="str">
        <f>IF(VLOOKUP(BM264,Fundamentus!A:U,8,FALSE)&lt;0,"Risco elevado",IF(VLOOKUP(BM264,Fundamentus!A:U,8,FALSE)&lt;1,"Saudável",IF(VLOOKUP(BM264,Fundamentus!A:U,8,FALSE)&lt;3,"Estável",IF(VLOOKUP(BM264,Fundamentus!A:U,8,FALSE)&gt;3,"Alerta","n/a"))))</f>
        <v>Risco elevado</v>
      </c>
      <c r="EO264" s="28" t="str">
        <f t="shared" si="307"/>
        <v>Ruim</v>
      </c>
      <c r="EP264" s="17" t="str">
        <f>IF(VLOOKUP(BM264,Fundamentus!A:U,12,FALSE)&lt;2,"Subvalorizada",IF(VLOOKUP(BM264,Fundamentus!A:U,12,FALSE)&lt;6,"Muita barata",IF(VLOOKUP(BM264,Fundamentus!A:U,12,FALSE)&lt;6,"Barata",IF(VLOOKUP(BM264,Fundamentus!A:U,12,FALSE)&lt;8,"Atrativa",IF(VLOOKUP(BM264,Fundamentus!A:U,12,FALSE)&gt;8,"Supervalorizada","n/a")))))</f>
        <v>Subvalorizada</v>
      </c>
      <c r="ER264" s="17" t="str">
        <f>IF(VLOOKUP(BM264,Fundamentus!A:U,17,FALSE)&lt;0.1,"Fraco retorno",IF(VLOOKUP(BM264,Fundamentus!A:U,17,FALSE)&gt;0.1,"Bom retorno","n/a"))</f>
        <v>Bom retorno</v>
      </c>
      <c r="ES264" s="17" t="str">
        <f>IF(VLOOKUP(BM264,Fundamentus!A:U,16,FALSE)&lt;0.1,"Ineficiente",IF(VLOOKUP(BM264,Fundamentus!A:U,16,FALSE)&gt;0.1,"Eficiente","n/a"))</f>
        <v>Ineficiente</v>
      </c>
      <c r="ET264" s="33" t="str">
        <f>IF(VLOOKUP(BM264,Fundamentus!A:U,16,FALSE)&lt;0.1,"Oper. Ineficiente",IF(VLOOKUP(BM264,Fundamentus!A:U,16,FALSE)&gt;0.1,"Oper.Eficiente","n/a"))</f>
        <v>Oper. Ineficiente</v>
      </c>
      <c r="EU264" s="34">
        <f>VLOOKUP(BM264,Fundamentus!A:U,14,FALSE)</f>
        <v>-3.7662</v>
      </c>
      <c r="EV264" s="17" t="str">
        <f>IF(VLOOKUP(BM264,Fundamentus!A:U,21,FALSE)&lt;0,"Negativo",IF(VLOOKUP(BM264,Fundamentus!A:U,21,FALSE)&lt;0.05,"Fraco",IF(VLOOKUP(BM264,Fundamentus!A:U,21,FALSE)&lt;0.1,"Bom",IF(VLOOKUP(BM264,Fundamentus!A:U,21,FALSE)&gt;0.1,"Muito bom","n/a"))))</f>
        <v>Negativo</v>
      </c>
      <c r="EX264" s="29" t="str">
        <f>IF(VLOOKUP(BM264,Fundamentus!A:U,15,FALSE)&gt;1,"Bom",IF(VLOOKUP(BM264,Fundamentus!A:U,15,FALSE)&lt;1,"Ruim","n/a"))</f>
        <v>Ruim</v>
      </c>
      <c r="EY264" s="17" t="str">
        <f>IF(VLOOKUP(BM264,Fundamentus!A:U,20,FALSE)&lt;0.5,"Baixa",IF(VLOOKUP(BM264,Fundamentus!A:U,20,FALSE)&lt;1,"Moderada",IF(VLOOKUP(BM264,Fundamentus!A:U,20,FALSE)&lt;2,"Alerta",IF(VLOOKUP(BM264,Fundamentus!A:U,20,FALSE)&gt;2,"Alta","n/a"))))</f>
        <v>Baixa</v>
      </c>
    </row>
    <row r="265" spans="1:155" s="2" customFormat="1" ht="11.25" x14ac:dyDescent="0.2">
      <c r="A265" s="4">
        <v>13.95</v>
      </c>
      <c r="B265" s="4">
        <v>13.34</v>
      </c>
      <c r="C265" s="4">
        <v>13.08</v>
      </c>
      <c r="D265" s="4">
        <v>12.55</v>
      </c>
      <c r="E265" s="4">
        <v>16</v>
      </c>
      <c r="F265" s="4">
        <v>16.45</v>
      </c>
      <c r="G265" s="4">
        <v>17.3</v>
      </c>
      <c r="H265" s="4">
        <v>17.05</v>
      </c>
      <c r="I265" s="4">
        <v>17.100000000000001</v>
      </c>
      <c r="J265" s="4">
        <v>14.6</v>
      </c>
      <c r="K265" s="4">
        <v>14.17</v>
      </c>
      <c r="L265" s="4">
        <v>13.8</v>
      </c>
      <c r="M265" s="4">
        <v>13.77</v>
      </c>
      <c r="N265" s="4">
        <v>13.76</v>
      </c>
      <c r="O265" s="4">
        <v>13.82</v>
      </c>
      <c r="P265" s="4">
        <v>13.25</v>
      </c>
      <c r="Q265" s="4">
        <v>13.26</v>
      </c>
      <c r="R265" s="4">
        <v>13</v>
      </c>
      <c r="S265" s="4">
        <v>13</v>
      </c>
      <c r="T265" s="4">
        <v>13.22</v>
      </c>
      <c r="U265" s="4">
        <v>13.38</v>
      </c>
      <c r="V265" s="4">
        <v>12.41</v>
      </c>
      <c r="W265" s="4">
        <v>11.32</v>
      </c>
      <c r="X265" s="4">
        <v>10.1</v>
      </c>
      <c r="Y265" s="4">
        <v>9.8000000000000007</v>
      </c>
      <c r="Z265" s="4">
        <v>9.6999999999999993</v>
      </c>
      <c r="AA265" s="4">
        <v>10.08</v>
      </c>
      <c r="AB265" s="4">
        <v>10.01</v>
      </c>
      <c r="AC265" s="4">
        <v>9.5</v>
      </c>
      <c r="AD265" s="4">
        <v>8.42</v>
      </c>
      <c r="AE265" s="4">
        <v>7.82</v>
      </c>
      <c r="AF265" s="4">
        <v>7.61</v>
      </c>
      <c r="AG265" s="4">
        <v>6.7</v>
      </c>
      <c r="AH265" s="4">
        <v>8.1</v>
      </c>
      <c r="AI265" s="4">
        <v>8.4</v>
      </c>
      <c r="AJ265" s="4">
        <v>6.21</v>
      </c>
      <c r="AK265" s="4">
        <v>6.86</v>
      </c>
      <c r="AL265" s="4">
        <v>6.8</v>
      </c>
      <c r="AM265" s="4">
        <v>6.53</v>
      </c>
      <c r="AN265" s="4">
        <v>6.35</v>
      </c>
      <c r="AO265" s="4">
        <v>6.35</v>
      </c>
      <c r="AP265" s="4">
        <v>5.82</v>
      </c>
      <c r="AQ265" s="4">
        <v>5.53</v>
      </c>
      <c r="AR265" s="4">
        <v>6.9</v>
      </c>
      <c r="AS265" s="4">
        <v>6.75</v>
      </c>
      <c r="AT265" s="4">
        <v>6.79</v>
      </c>
      <c r="AU265" s="4">
        <v>7.0449999999999999</v>
      </c>
      <c r="AV265" s="4">
        <v>6.92</v>
      </c>
      <c r="AW265" s="4">
        <v>6.92</v>
      </c>
      <c r="AX265" s="4">
        <v>6.8</v>
      </c>
      <c r="AY265" s="12">
        <v>6.61</v>
      </c>
      <c r="AZ265" s="12">
        <v>6.72</v>
      </c>
      <c r="BA265" s="12">
        <v>6.57</v>
      </c>
      <c r="BB265" s="15">
        <v>6.37</v>
      </c>
      <c r="BC265" s="52">
        <v>6.19</v>
      </c>
      <c r="BD265" s="52">
        <v>6.04</v>
      </c>
      <c r="BE265" s="52">
        <v>6.01</v>
      </c>
      <c r="BF265" s="52">
        <v>5.99</v>
      </c>
      <c r="BG265" s="67">
        <v>6.01</v>
      </c>
      <c r="BH265" s="52">
        <v>5.91</v>
      </c>
      <c r="BI265" s="52">
        <v>6.07</v>
      </c>
      <c r="BJ265" s="52">
        <v>6.07</v>
      </c>
      <c r="BK265" s="52">
        <v>6.07</v>
      </c>
      <c r="BL265" s="52" cm="1">
        <f t="array" aca="1" ref="BL265" ca="1">_FV(EC265,"Preço")</f>
        <v>6.07</v>
      </c>
      <c r="BM265" s="69" t="s">
        <v>261</v>
      </c>
      <c r="BN265" s="36" cm="1">
        <f t="array" aca="1" ref="BN265" ca="1">_FV(EC265,"Média de volume",TRUE)</f>
        <v>10010</v>
      </c>
      <c r="BO265" s="36">
        <v>7500</v>
      </c>
      <c r="BP265" s="36" cm="1">
        <f t="array" aca="1" ref="BP265" ca="1">_FV(EC265,"Volume")</f>
        <v>7500</v>
      </c>
      <c r="BQ265" s="24" cm="1">
        <f t="array" aca="1" ref="BQ265" ca="1">_FV(EC265,"Beta")</f>
        <v>1.4672000000000001</v>
      </c>
      <c r="BR265" s="71" cm="1">
        <f t="array" aca="1" ref="BR265" ca="1">_FV(EC265,"Variação (%)",TRUE)</f>
        <v>0</v>
      </c>
      <c r="BT265" s="17" cm="1">
        <f t="array" aca="1" ref="BT265" ca="1">_FV(EC265,"Baixo")</f>
        <v>6</v>
      </c>
      <c r="BU265" s="17" cm="1">
        <f t="array" aca="1" ref="BU265" ca="1">_FV(EC265,"Alto")</f>
        <v>6.07</v>
      </c>
      <c r="BV265" s="24"/>
      <c r="BW265" s="63" t="e">
        <f ca="1">SQRT(22.5*(BL265/VLOOKUP(BM265,Fundamentus!A:U,3,FALSE))*(BL265/VLOOKUP(BM265,Fundamentus!A:U,4,FALSE)))</f>
        <v>#NUM!</v>
      </c>
      <c r="BY265" s="62">
        <f t="shared" ca="1" si="308"/>
        <v>0</v>
      </c>
      <c r="BZ265" s="8"/>
      <c r="CA265" s="61">
        <f t="shared" si="309"/>
        <v>5.53</v>
      </c>
      <c r="CB265" s="61">
        <f t="shared" si="310"/>
        <v>17.3</v>
      </c>
      <c r="CC265" s="61">
        <f t="shared" si="311"/>
        <v>9.6670634920634946</v>
      </c>
      <c r="CD265" s="14"/>
      <c r="CE265" s="35">
        <f t="shared" si="285"/>
        <v>5.9368106944583268</v>
      </c>
      <c r="CF265" s="15">
        <f t="shared" si="312"/>
        <v>6.0539999999999736</v>
      </c>
      <c r="CG265" s="35">
        <f t="shared" si="286"/>
        <v>6.1711893055416205</v>
      </c>
      <c r="CI265" s="14"/>
      <c r="CJ265" s="17">
        <f t="shared" si="287"/>
        <v>-9.803333333333331</v>
      </c>
      <c r="CK265" s="17">
        <f t="shared" si="288"/>
        <v>-2.1366666666666649</v>
      </c>
      <c r="CL265" s="17">
        <f t="shared" si="289"/>
        <v>1.9666666666666686</v>
      </c>
      <c r="CM265" s="38">
        <f t="shared" si="313"/>
        <v>9.6333333333333346</v>
      </c>
      <c r="CN265" s="17">
        <f t="shared" si="290"/>
        <v>13.736666666666668</v>
      </c>
      <c r="CO265" s="17">
        <f t="shared" si="291"/>
        <v>21.403333333333336</v>
      </c>
      <c r="CP265" s="17">
        <f t="shared" si="292"/>
        <v>25.506666666666668</v>
      </c>
      <c r="CQ265" s="2" cm="1">
        <f t="array" aca="1" ref="CQ265" ca="1">MAX(_xlfn._xlws.FILTER(CJ265:CP265,CJ265:CP265&lt;BL265))</f>
        <v>1.9666666666666686</v>
      </c>
      <c r="CR265" s="2" cm="1">
        <f t="array" aca="1" ref="CR265" ca="1">MIN(_xlfn._xlws.FILTER($CJ265:$CP265,$CJ265:$CP265&gt;BL265))</f>
        <v>9.6333333333333346</v>
      </c>
      <c r="CS265" s="16">
        <f t="shared" ca="1" si="293"/>
        <v>3.8983050847457585</v>
      </c>
      <c r="CT265" s="20">
        <f t="shared" ca="1" si="294"/>
        <v>-1.9491525423728793</v>
      </c>
      <c r="CU265" s="20">
        <f t="shared" ca="1" si="295"/>
        <v>-1.2994350282485863</v>
      </c>
      <c r="CV265" s="20">
        <f t="shared" ca="1" si="296"/>
        <v>-0.77966101694915169</v>
      </c>
      <c r="CW265" s="20">
        <f t="shared" ca="1" si="297"/>
        <v>-0.43314500941619538</v>
      </c>
      <c r="CX265" s="20">
        <f t="shared" ca="1" si="315"/>
        <v>-0.22931206380857402</v>
      </c>
      <c r="CY265" s="20">
        <f t="shared" ca="1" si="316"/>
        <v>-0.11813045711350784</v>
      </c>
      <c r="CZ265" s="20">
        <f t="shared" ca="1" si="317"/>
        <v>-5.997392438070398E-2</v>
      </c>
      <c r="DA265" s="21">
        <f t="shared" ca="1" si="318"/>
        <v>5.997392438070398E-2</v>
      </c>
      <c r="DB265" s="21">
        <f t="shared" ca="1" si="319"/>
        <v>0.11813045711350784</v>
      </c>
      <c r="DC265" s="21">
        <f t="shared" ca="1" si="320"/>
        <v>0.22931206380857402</v>
      </c>
      <c r="DD265" s="21">
        <f t="shared" ca="1" si="298"/>
        <v>0.43314500941619538</v>
      </c>
      <c r="DE265" s="21">
        <f t="shared" ca="1" si="299"/>
        <v>0.77966101694915169</v>
      </c>
      <c r="DF265" s="21">
        <f t="shared" ca="1" si="300"/>
        <v>1.2994350282485863</v>
      </c>
      <c r="DG265" s="21">
        <f t="shared" ca="1" si="301"/>
        <v>1.9491525423728793</v>
      </c>
      <c r="DI265" s="16" cm="1">
        <f t="array" aca="1" ref="DI265" ca="1">MAX(_xlfn._xlws.FILTER(CT265:DG265,CT265:DG265&lt;BR265))</f>
        <v>-5.997392438070398E-2</v>
      </c>
      <c r="DJ265" s="16" cm="1">
        <f t="array" aca="1" ref="DJ265" ca="1">MIN(_xlfn._xlws.FILTER(CT265:DG265,CT265:DG265&gt;BR265))</f>
        <v>5.997392438070398E-2</v>
      </c>
      <c r="DK265" s="2" cm="1">
        <f t="array" aca="1" ref="DK265" ca="1">_FV(EC265,"Fechamento anterior",TRUE)</f>
        <v>6.07</v>
      </c>
      <c r="DL265" s="28">
        <f t="shared" ca="1" si="302"/>
        <v>0.5</v>
      </c>
      <c r="DM265" s="15">
        <f t="shared" ca="1" si="283"/>
        <v>5.7059582790091268</v>
      </c>
      <c r="DN265" s="15">
        <f t="shared" ca="1" si="284"/>
        <v>6.4340417209908738</v>
      </c>
      <c r="DO265" s="9"/>
      <c r="DP265" s="9"/>
      <c r="DQ265" s="9"/>
      <c r="DR265" s="89">
        <v>0.42260596546310802</v>
      </c>
      <c r="DS265" s="89">
        <v>0.12275751929731148</v>
      </c>
      <c r="DT265" s="89">
        <v>0.11994784876140796</v>
      </c>
      <c r="DU265" s="89">
        <v>0.11994784876140796</v>
      </c>
      <c r="DV265" s="89">
        <f t="shared" ca="1" si="303"/>
        <v>0.11994784876140796</v>
      </c>
      <c r="DW265" s="72">
        <f t="shared" ca="1" si="304"/>
        <v>0.13653122975748466</v>
      </c>
      <c r="DX265" s="37"/>
      <c r="DY265" s="35">
        <f t="shared" si="314"/>
        <v>5.8594652770823215E-2</v>
      </c>
      <c r="DZ265" s="56"/>
      <c r="EA265" s="56"/>
      <c r="EC265" s="2" t="e" vm="267">
        <v>#VALUE!</v>
      </c>
      <c r="EE265" s="10" cm="1">
        <f t="array" aca="1" ref="EE265" ca="1">_FV(EC265,"Ações em circulação",TRUE)</f>
        <v>114333800</v>
      </c>
      <c r="EF265" s="18">
        <f>VLOOKUP(BM265,Fundamentus!A:U,5,FALSE)</f>
        <v>0.60799999999999998</v>
      </c>
      <c r="EG265" s="2">
        <f t="shared" ca="1" si="305"/>
        <v>1141457509.8684211</v>
      </c>
      <c r="EH265" s="17">
        <v>-9474097.3319078945</v>
      </c>
      <c r="EI265" s="17">
        <f t="shared" ca="1" si="306"/>
        <v>-9474097.3319078945</v>
      </c>
      <c r="EK265" s="16">
        <f t="shared" ca="1" si="282"/>
        <v>0</v>
      </c>
      <c r="EL265" s="32" t="str">
        <f>IF(VLOOKUP(BM265,Fundamentus!A:U,3,FALSE)&lt;15,"Bom",IF(VLOOKUP(BM265,Fundamentus!A:U,3,FALSE)&gt;15,"Ruim","n/a"))</f>
        <v>Bom</v>
      </c>
      <c r="EM265" s="28" t="str">
        <f>IF(VLOOKUP(BM265,Fundamentus!A:U,4,FALSE)&lt;1,"Baixo",IF(VLOOKUP(BM265,Fundamentus!A:U,4,FALSE)&lt;1.5,"Moderado",IF(VLOOKUP(BM265,Fundamentus!A:U,4,FALSE)&gt;1.5,"Alto","n/a")))</f>
        <v>Baixo</v>
      </c>
      <c r="EN265" s="17" t="str">
        <f>IF(VLOOKUP(BM265,Fundamentus!A:U,8,FALSE)&lt;0,"Risco elevado",IF(VLOOKUP(BM265,Fundamentus!A:U,8,FALSE)&lt;1,"Saudável",IF(VLOOKUP(BM265,Fundamentus!A:U,8,FALSE)&lt;3,"Estável",IF(VLOOKUP(BM265,Fundamentus!A:U,8,FALSE)&gt;3,"Alerta","n/a"))))</f>
        <v>Alerta</v>
      </c>
      <c r="EO265" s="28" t="str">
        <f t="shared" si="307"/>
        <v>Ruim</v>
      </c>
      <c r="EP265" s="17" t="str">
        <f>IF(VLOOKUP(BM265,Fundamentus!A:U,12,FALSE)&lt;2,"Subvalorizada",IF(VLOOKUP(BM265,Fundamentus!A:U,12,FALSE)&lt;6,"Muita barata",IF(VLOOKUP(BM265,Fundamentus!A:U,12,FALSE)&lt;6,"Barata",IF(VLOOKUP(BM265,Fundamentus!A:U,12,FALSE)&lt;8,"Atrativa",IF(VLOOKUP(BM265,Fundamentus!A:U,12,FALSE)&gt;8,"Supervalorizada","n/a")))))</f>
        <v>Muita barata</v>
      </c>
      <c r="ER265" s="17" t="str">
        <f>IF(VLOOKUP(BM265,Fundamentus!A:U,17,FALSE)&lt;0.1,"Fraco retorno",IF(VLOOKUP(BM265,Fundamentus!A:U,17,FALSE)&gt;0.1,"Bom retorno","n/a"))</f>
        <v>Fraco retorno</v>
      </c>
      <c r="ES265" s="17" t="str">
        <f>IF(VLOOKUP(BM265,Fundamentus!A:U,16,FALSE)&lt;0.1,"Ineficiente",IF(VLOOKUP(BM265,Fundamentus!A:U,16,FALSE)&gt;0.1,"Eficiente","n/a"))</f>
        <v>Ineficiente</v>
      </c>
      <c r="ET265" s="33" t="str">
        <f>IF(VLOOKUP(BM265,Fundamentus!A:U,16,FALSE)&lt;0.1,"Oper. Ineficiente",IF(VLOOKUP(BM265,Fundamentus!A:U,16,FALSE)&gt;0.1,"Oper.Eficiente","n/a"))</f>
        <v>Oper. Ineficiente</v>
      </c>
      <c r="EU265" s="34">
        <f>VLOOKUP(BM265,Fundamentus!A:U,14,FALSE)</f>
        <v>-8.3000000000000001E-3</v>
      </c>
      <c r="EV265" s="17" t="str">
        <f>IF(VLOOKUP(BM265,Fundamentus!A:U,21,FALSE)&lt;0,"Negativo",IF(VLOOKUP(BM265,Fundamentus!A:U,21,FALSE)&lt;0.05,"Fraco",IF(VLOOKUP(BM265,Fundamentus!A:U,21,FALSE)&lt;0.1,"Bom",IF(VLOOKUP(BM265,Fundamentus!A:U,21,FALSE)&gt;0.1,"Muito bom","n/a"))))</f>
        <v>Muito bom</v>
      </c>
      <c r="EX265" s="29" t="str">
        <f>IF(VLOOKUP(BM265,Fundamentus!A:U,15,FALSE)&gt;1,"Bom",IF(VLOOKUP(BM265,Fundamentus!A:U,15,FALSE)&lt;1,"Ruim","n/a"))</f>
        <v>Bom</v>
      </c>
      <c r="EY265" s="17" t="str">
        <f>IF(VLOOKUP(BM265,Fundamentus!A:U,20,FALSE)&lt;0.5,"Baixa",IF(VLOOKUP(BM265,Fundamentus!A:U,20,FALSE)&lt;1,"Moderada",IF(VLOOKUP(BM265,Fundamentus!A:U,20,FALSE)&lt;2,"Alerta",IF(VLOOKUP(BM265,Fundamentus!A:U,20,FALSE)&gt;2,"Alta","n/a"))))</f>
        <v>Baixa</v>
      </c>
    </row>
    <row r="266" spans="1:155" s="2" customFormat="1" ht="11.25" x14ac:dyDescent="0.2">
      <c r="A266" s="4">
        <v>17.399999999999999</v>
      </c>
      <c r="B266" s="4">
        <v>16.7</v>
      </c>
      <c r="C266" s="4">
        <v>14.03</v>
      </c>
      <c r="D266" s="4">
        <v>13.93</v>
      </c>
      <c r="E266" s="4">
        <v>13.25</v>
      </c>
      <c r="F266" s="4">
        <v>13.49</v>
      </c>
      <c r="G266" s="4">
        <v>13.97</v>
      </c>
      <c r="H266" s="4">
        <v>13.97</v>
      </c>
      <c r="I266" s="4">
        <v>12.84</v>
      </c>
      <c r="J266" s="4">
        <v>13.13</v>
      </c>
      <c r="K266" s="4">
        <v>13.25</v>
      </c>
      <c r="L266" s="4">
        <v>13.5</v>
      </c>
      <c r="M266" s="4">
        <v>13.5</v>
      </c>
      <c r="N266" s="4">
        <v>13</v>
      </c>
      <c r="O266" s="4">
        <v>12.6</v>
      </c>
      <c r="P266" s="4">
        <v>11.65</v>
      </c>
      <c r="Q266" s="4">
        <v>11.51</v>
      </c>
      <c r="R266" s="4">
        <v>11</v>
      </c>
      <c r="S266" s="4">
        <v>11.6</v>
      </c>
      <c r="T266" s="4">
        <v>11</v>
      </c>
      <c r="U266" s="4">
        <v>11.61</v>
      </c>
      <c r="V266" s="4">
        <v>11.13</v>
      </c>
      <c r="W266" s="4">
        <v>11.05</v>
      </c>
      <c r="X266" s="4">
        <v>11</v>
      </c>
      <c r="Y266" s="4">
        <v>8.6999999999999993</v>
      </c>
      <c r="Z266" s="4">
        <v>7.98</v>
      </c>
      <c r="AA266" s="4">
        <v>7.99</v>
      </c>
      <c r="AB266" s="4">
        <v>8</v>
      </c>
      <c r="AC266" s="4">
        <v>7.5</v>
      </c>
      <c r="AD266" s="4">
        <v>7.1</v>
      </c>
      <c r="AE266" s="4">
        <v>6.55</v>
      </c>
      <c r="AF266" s="4">
        <v>6.41</v>
      </c>
      <c r="AG266" s="4">
        <v>6.99</v>
      </c>
      <c r="AH266" s="4">
        <v>6.97</v>
      </c>
      <c r="AI266" s="4">
        <v>6.96</v>
      </c>
      <c r="AJ266" s="4">
        <v>7.01</v>
      </c>
      <c r="AK266" s="4">
        <v>6.9</v>
      </c>
      <c r="AL266" s="4">
        <v>7.3</v>
      </c>
      <c r="AM266" s="4">
        <v>7.25</v>
      </c>
      <c r="AN266" s="4">
        <v>8.5500000000000007</v>
      </c>
      <c r="AO266" s="4">
        <v>7.25</v>
      </c>
      <c r="AP266" s="4">
        <v>7.12</v>
      </c>
      <c r="AQ266" s="4">
        <v>6.84</v>
      </c>
      <c r="AR266" s="4">
        <v>6.6</v>
      </c>
      <c r="AS266" s="4">
        <v>6.6</v>
      </c>
      <c r="AT266" s="4">
        <v>6.5</v>
      </c>
      <c r="AU266" s="4">
        <v>6.2949999999999999</v>
      </c>
      <c r="AV266" s="4">
        <v>6.35</v>
      </c>
      <c r="AW266" s="4">
        <v>6.09</v>
      </c>
      <c r="AX266" s="4">
        <v>6.05</v>
      </c>
      <c r="AY266" s="12">
        <v>6.09</v>
      </c>
      <c r="AZ266" s="12">
        <v>6.2</v>
      </c>
      <c r="BA266" s="12">
        <v>5.93</v>
      </c>
      <c r="BB266" s="15">
        <v>5.97</v>
      </c>
      <c r="BC266" s="52">
        <v>5.95</v>
      </c>
      <c r="BD266" s="52">
        <v>5.13</v>
      </c>
      <c r="BE266" s="52">
        <v>5.21</v>
      </c>
      <c r="BF266" s="52">
        <v>5.0999999999999996</v>
      </c>
      <c r="BG266" s="67">
        <v>5.08</v>
      </c>
      <c r="BH266" s="52">
        <v>4.53</v>
      </c>
      <c r="BI266" s="52">
        <v>4.03</v>
      </c>
      <c r="BJ266" s="52">
        <v>3.99</v>
      </c>
      <c r="BK266" s="52">
        <v>4.05</v>
      </c>
      <c r="BL266" s="52" cm="1">
        <f t="array" aca="1" ref="BL266" ca="1">_FV(EC266,"Preço")</f>
        <v>4.05</v>
      </c>
      <c r="BM266" s="69" t="s">
        <v>262</v>
      </c>
      <c r="BN266" s="36" cm="1">
        <f t="array" aca="1" ref="BN266" ca="1">_FV(EC266,"Média de volume",TRUE)</f>
        <v>1170</v>
      </c>
      <c r="BO266" s="36">
        <v>1600</v>
      </c>
      <c r="BP266" s="36" cm="1">
        <f t="array" aca="1" ref="BP266" ca="1">_FV(EC266,"Volume")</f>
        <v>1600</v>
      </c>
      <c r="BQ266" s="24" cm="1">
        <f t="array" aca="1" ref="BQ266" ca="1">_FV(EC266,"Beta")</f>
        <v>1.2224999999999999</v>
      </c>
      <c r="BR266" s="71" cm="1">
        <f t="array" aca="1" ref="BR266" ca="1">_FV(EC266,"Variação (%)",TRUE)</f>
        <v>-1.9370000000000002E-2</v>
      </c>
      <c r="BT266" s="17" cm="1">
        <f t="array" aca="1" ref="BT266" ca="1">_FV(EC266,"Baixo")</f>
        <v>4.05</v>
      </c>
      <c r="BU266" s="17" cm="1">
        <f t="array" aca="1" ref="BU266" ca="1">_FV(EC266,"Alto")</f>
        <v>4.13</v>
      </c>
      <c r="BV266" s="24"/>
      <c r="BW266" s="63" t="e">
        <f ca="1">SQRT(22.5*(BL266/VLOOKUP(BM266,Fundamentus!A:U,3,FALSE))*(BL266/VLOOKUP(BM266,Fundamentus!A:U,4,FALSE)))</f>
        <v>#NUM!</v>
      </c>
      <c r="BY266" s="62">
        <f t="shared" ca="1" si="308"/>
        <v>0</v>
      </c>
      <c r="BZ266" s="8"/>
      <c r="CA266" s="61">
        <f t="shared" si="309"/>
        <v>3.99</v>
      </c>
      <c r="CB266" s="61">
        <f t="shared" si="310"/>
        <v>17.399999999999999</v>
      </c>
      <c r="CC266" s="61">
        <f t="shared" si="311"/>
        <v>8.908333333333335</v>
      </c>
      <c r="CD266" s="14"/>
      <c r="CE266" s="35">
        <f t="shared" si="285"/>
        <v>3.1193623697786599</v>
      </c>
      <c r="CF266" s="15">
        <f t="shared" si="312"/>
        <v>4.0760000000000218</v>
      </c>
      <c r="CG266" s="35">
        <f t="shared" si="286"/>
        <v>5.0326376302213838</v>
      </c>
      <c r="CI266" s="14"/>
      <c r="CJ266" s="17">
        <f t="shared" si="287"/>
        <v>-13.889999999999995</v>
      </c>
      <c r="CK266" s="17">
        <f t="shared" si="288"/>
        <v>-4.9499999999999975</v>
      </c>
      <c r="CL266" s="17">
        <f t="shared" si="289"/>
        <v>-0.47999999999999687</v>
      </c>
      <c r="CM266" s="38">
        <f t="shared" si="313"/>
        <v>8.4600000000000009</v>
      </c>
      <c r="CN266" s="17">
        <f t="shared" si="290"/>
        <v>12.930000000000001</v>
      </c>
      <c r="CO266" s="17">
        <f t="shared" si="291"/>
        <v>21.869999999999997</v>
      </c>
      <c r="CP266" s="17">
        <f t="shared" si="292"/>
        <v>26.34</v>
      </c>
      <c r="CQ266" s="2" cm="1">
        <f t="array" aca="1" ref="CQ266" ca="1">MAX(_xlfn._xlws.FILTER(CJ266:CP266,CJ266:CP266&lt;BL266))</f>
        <v>-0.47999999999999687</v>
      </c>
      <c r="CR266" s="2" cm="1">
        <f t="array" aca="1" ref="CR266" ca="1">MIN(_xlfn._xlws.FILTER($CJ266:$CP266,$CJ266:$CP266&gt;BL266))</f>
        <v>8.4600000000000009</v>
      </c>
      <c r="CS266" s="16">
        <f t="shared" ca="1" si="293"/>
        <v>-18.625000000000117</v>
      </c>
      <c r="CT266" s="20">
        <f t="shared" ca="1" si="294"/>
        <v>9.3125000000000586</v>
      </c>
      <c r="CU266" s="20">
        <f t="shared" ca="1" si="295"/>
        <v>6.2083333333333721</v>
      </c>
      <c r="CV266" s="20">
        <f t="shared" ca="1" si="296"/>
        <v>3.7250000000000236</v>
      </c>
      <c r="CW266" s="20">
        <f t="shared" ca="1" si="297"/>
        <v>2.0694444444444575</v>
      </c>
      <c r="CX266" s="20">
        <f t="shared" ca="1" si="315"/>
        <v>1.0955882352941246</v>
      </c>
      <c r="CY266" s="20">
        <f t="shared" ca="1" si="316"/>
        <v>0.564393939393943</v>
      </c>
      <c r="CZ266" s="20">
        <f t="shared" ca="1" si="317"/>
        <v>0.28653846153846335</v>
      </c>
      <c r="DA266" s="21">
        <f t="shared" ca="1" si="318"/>
        <v>-0.28653846153846335</v>
      </c>
      <c r="DB266" s="21">
        <f t="shared" ca="1" si="319"/>
        <v>-0.564393939393943</v>
      </c>
      <c r="DC266" s="21">
        <f t="shared" ca="1" si="320"/>
        <v>-1.0955882352941246</v>
      </c>
      <c r="DD266" s="21">
        <f t="shared" ca="1" si="298"/>
        <v>-2.0694444444444575</v>
      </c>
      <c r="DE266" s="21">
        <f t="shared" ca="1" si="299"/>
        <v>-3.7250000000000236</v>
      </c>
      <c r="DF266" s="21">
        <f t="shared" ca="1" si="300"/>
        <v>-6.2083333333333721</v>
      </c>
      <c r="DG266" s="21">
        <f t="shared" ca="1" si="301"/>
        <v>-9.3125000000000586</v>
      </c>
      <c r="DI266" s="16" cm="1">
        <f t="array" aca="1" ref="DI266" ca="1">MAX(_xlfn._xlws.FILTER(CT266:DG266,CT266:DG266&lt;BR266))</f>
        <v>-0.28653846153846335</v>
      </c>
      <c r="DJ266" s="16" cm="1">
        <f t="array" aca="1" ref="DJ266" ca="1">MIN(_xlfn._xlws.FILTER(CT266:DG266,CT266:DG266&gt;BR266))</f>
        <v>0.28653846153846335</v>
      </c>
      <c r="DK266" s="2" cm="1">
        <f t="array" aca="1" ref="DK266" ca="1">_FV(EC266,"Fechamento anterior",TRUE)</f>
        <v>4.13</v>
      </c>
      <c r="DL266" s="28">
        <f t="shared" ca="1" si="302"/>
        <v>0.46619919723093445</v>
      </c>
      <c r="DM266" s="15">
        <f t="shared" ca="1" si="283"/>
        <v>2.946596153846146</v>
      </c>
      <c r="DN266" s="15">
        <f t="shared" ca="1" si="284"/>
        <v>5.3134038461538537</v>
      </c>
      <c r="DO266" s="9"/>
      <c r="DP266" s="9"/>
      <c r="DQ266" s="9"/>
      <c r="DR266" s="89">
        <v>0.25230769230769229</v>
      </c>
      <c r="DS266" s="89">
        <v>0.25964172813487896</v>
      </c>
      <c r="DT266" s="89">
        <v>0.5730769230769267</v>
      </c>
      <c r="DU266" s="89">
        <v>0.5730769230769267</v>
      </c>
      <c r="DV266" s="89">
        <f t="shared" ca="1" si="303"/>
        <v>0.5730769230769267</v>
      </c>
      <c r="DW266" s="72">
        <f t="shared" ca="1" si="304"/>
        <v>-2.7178525262492249E-2</v>
      </c>
      <c r="DX266" s="37"/>
      <c r="DY266" s="35">
        <f t="shared" si="314"/>
        <v>0.47831881511068097</v>
      </c>
      <c r="DZ266" s="56"/>
      <c r="EA266" s="56"/>
      <c r="EC266" s="2" t="e" vm="268">
        <v>#VALUE!</v>
      </c>
      <c r="EE266" s="10" cm="1">
        <f t="array" aca="1" ref="EE266" ca="1">_FV(EC266,"Ações em circulação",TRUE)</f>
        <v>5783210</v>
      </c>
      <c r="EF266" s="18">
        <f>VLOOKUP(BM266,Fundamentus!A:U,5,FALSE)</f>
        <v>0.03</v>
      </c>
      <c r="EG266" s="2">
        <f t="shared" ca="1" si="305"/>
        <v>780733350</v>
      </c>
      <c r="EH266" s="17">
        <v>-20220993.765000001</v>
      </c>
      <c r="EI266" s="17">
        <f t="shared" ca="1" si="306"/>
        <v>-20220993.765000001</v>
      </c>
      <c r="EK266" s="16">
        <f t="shared" ca="1" si="282"/>
        <v>0</v>
      </c>
      <c r="EL266" s="32" t="str">
        <f>IF(VLOOKUP(BM266,Fundamentus!A:U,3,FALSE)&lt;15,"Bom",IF(VLOOKUP(BM266,Fundamentus!A:U,3,FALSE)&gt;15,"Ruim","n/a"))</f>
        <v>Bom</v>
      </c>
      <c r="EM266" s="28" t="str">
        <f>IF(VLOOKUP(BM266,Fundamentus!A:U,4,FALSE)&lt;1,"Baixo",IF(VLOOKUP(BM266,Fundamentus!A:U,4,FALSE)&lt;1.5,"Moderado",IF(VLOOKUP(BM266,Fundamentus!A:U,4,FALSE)&gt;1.5,"Alto","n/a")))</f>
        <v>Alto</v>
      </c>
      <c r="EN266" s="17" t="str">
        <f>IF(VLOOKUP(BM266,Fundamentus!A:U,8,FALSE)&lt;0,"Risco elevado",IF(VLOOKUP(BM266,Fundamentus!A:U,8,FALSE)&lt;1,"Saudável",IF(VLOOKUP(BM266,Fundamentus!A:U,8,FALSE)&lt;3,"Estável",IF(VLOOKUP(BM266,Fundamentus!A:U,8,FALSE)&gt;3,"Alerta","n/a"))))</f>
        <v>Saudável</v>
      </c>
      <c r="EO266" s="28" t="str">
        <f t="shared" si="307"/>
        <v>Ruim</v>
      </c>
      <c r="EP266" s="17" t="str">
        <f>IF(VLOOKUP(BM266,Fundamentus!A:U,12,FALSE)&lt;2,"Subvalorizada",IF(VLOOKUP(BM266,Fundamentus!A:U,12,FALSE)&lt;6,"Muita barata",IF(VLOOKUP(BM266,Fundamentus!A:U,12,FALSE)&lt;6,"Barata",IF(VLOOKUP(BM266,Fundamentus!A:U,12,FALSE)&lt;8,"Atrativa",IF(VLOOKUP(BM266,Fundamentus!A:U,12,FALSE)&gt;8,"Supervalorizada","n/a")))))</f>
        <v>Atrativa</v>
      </c>
      <c r="ER266" s="17" t="str">
        <f>IF(VLOOKUP(BM266,Fundamentus!A:U,17,FALSE)&lt;0.1,"Fraco retorno",IF(VLOOKUP(BM266,Fundamentus!A:U,17,FALSE)&gt;0.1,"Bom retorno","n/a"))</f>
        <v>Fraco retorno</v>
      </c>
      <c r="ES266" s="17" t="str">
        <f>IF(VLOOKUP(BM266,Fundamentus!A:U,16,FALSE)&lt;0.1,"Ineficiente",IF(VLOOKUP(BM266,Fundamentus!A:U,16,FALSE)&gt;0.1,"Eficiente","n/a"))</f>
        <v>Eficiente</v>
      </c>
      <c r="ET266" s="33" t="str">
        <f>IF(VLOOKUP(BM266,Fundamentus!A:U,16,FALSE)&lt;0.1,"Oper. Ineficiente",IF(VLOOKUP(BM266,Fundamentus!A:U,16,FALSE)&gt;0.1,"Oper.Eficiente","n/a"))</f>
        <v>Oper.Eficiente</v>
      </c>
      <c r="EU266" s="34">
        <f>VLOOKUP(BM266,Fundamentus!A:U,14,FALSE)</f>
        <v>-2.5899999999999999E-2</v>
      </c>
      <c r="EV266" s="17" t="str">
        <f>IF(VLOOKUP(BM266,Fundamentus!A:U,21,FALSE)&lt;0,"Negativo",IF(VLOOKUP(BM266,Fundamentus!A:U,21,FALSE)&lt;0.05,"Fraco",IF(VLOOKUP(BM266,Fundamentus!A:U,21,FALSE)&lt;0.1,"Bom",IF(VLOOKUP(BM266,Fundamentus!A:U,21,FALSE)&gt;0.1,"Muito bom","n/a"))))</f>
        <v>Bom</v>
      </c>
      <c r="EX266" s="29" t="str">
        <f>IF(VLOOKUP(BM266,Fundamentus!A:U,15,FALSE)&gt;1,"Bom",IF(VLOOKUP(BM266,Fundamentus!A:U,15,FALSE)&lt;1,"Ruim","n/a"))</f>
        <v>Bom</v>
      </c>
      <c r="EY266" s="17" t="str">
        <f>IF(VLOOKUP(BM266,Fundamentus!A:U,20,FALSE)&lt;0.5,"Baixa",IF(VLOOKUP(BM266,Fundamentus!A:U,20,FALSE)&lt;1,"Moderada",IF(VLOOKUP(BM266,Fundamentus!A:U,20,FALSE)&lt;2,"Alerta",IF(VLOOKUP(BM266,Fundamentus!A:U,20,FALSE)&gt;2,"Alta","n/a"))))</f>
        <v>Alta</v>
      </c>
    </row>
    <row r="267" spans="1:155" s="2" customFormat="1" ht="11.25" x14ac:dyDescent="0.2">
      <c r="A267" s="4">
        <v>1.61</v>
      </c>
      <c r="B267" s="4">
        <v>1.7</v>
      </c>
      <c r="C267" s="4">
        <v>1.71</v>
      </c>
      <c r="D267" s="4">
        <v>1.63</v>
      </c>
      <c r="E267" s="4">
        <v>4.54</v>
      </c>
      <c r="F267" s="4">
        <v>4.2699999999999996</v>
      </c>
      <c r="G267" s="4">
        <v>3.48</v>
      </c>
      <c r="H267" s="4">
        <v>2.84</v>
      </c>
      <c r="I267" s="4">
        <v>2.83</v>
      </c>
      <c r="J267" s="4">
        <v>2.94</v>
      </c>
      <c r="K267" s="4">
        <v>3.01</v>
      </c>
      <c r="L267" s="4">
        <v>2.85</v>
      </c>
      <c r="M267" s="4">
        <v>2.98</v>
      </c>
      <c r="N267" s="4">
        <v>2.65</v>
      </c>
      <c r="O267" s="4">
        <v>3.02</v>
      </c>
      <c r="P267" s="4">
        <v>2.82</v>
      </c>
      <c r="Q267" s="4">
        <v>3.6</v>
      </c>
      <c r="R267" s="4">
        <v>4.7</v>
      </c>
      <c r="S267" s="4">
        <v>7.56</v>
      </c>
      <c r="T267" s="4">
        <v>7.35</v>
      </c>
      <c r="U267" s="4">
        <v>4.8899999999999997</v>
      </c>
      <c r="V267" s="4">
        <v>4.96</v>
      </c>
      <c r="W267" s="4">
        <v>4.7</v>
      </c>
      <c r="X267" s="4">
        <v>4.53</v>
      </c>
      <c r="Y267" s="4">
        <v>4.3099999999999996</v>
      </c>
      <c r="Z267" s="4">
        <v>4.07</v>
      </c>
      <c r="AA267" s="4">
        <v>3.82</v>
      </c>
      <c r="AB267" s="4">
        <v>4.25</v>
      </c>
      <c r="AC267" s="4">
        <v>3.96</v>
      </c>
      <c r="AD267" s="4">
        <v>4.1100000000000003</v>
      </c>
      <c r="AE267" s="4">
        <v>4.46</v>
      </c>
      <c r="AF267" s="4">
        <v>4.97</v>
      </c>
      <c r="AG267" s="4">
        <v>5.42</v>
      </c>
      <c r="AH267" s="4">
        <v>5.6</v>
      </c>
      <c r="AI267" s="4">
        <v>6.5</v>
      </c>
      <c r="AJ267" s="4">
        <v>5.4</v>
      </c>
      <c r="AK267" s="4">
        <v>4.82</v>
      </c>
      <c r="AL267" s="4">
        <v>4.7</v>
      </c>
      <c r="AM267" s="4">
        <v>4.01</v>
      </c>
      <c r="AN267" s="4">
        <v>3.83</v>
      </c>
      <c r="AO267" s="4">
        <v>3.28</v>
      </c>
      <c r="AP267" s="4">
        <v>3.6</v>
      </c>
      <c r="AQ267" s="4">
        <v>3.45</v>
      </c>
      <c r="AR267" s="4">
        <v>3.12</v>
      </c>
      <c r="AS267" s="4">
        <v>3.21</v>
      </c>
      <c r="AT267" s="4">
        <v>3.36</v>
      </c>
      <c r="AU267" s="4">
        <v>3.36</v>
      </c>
      <c r="AV267" s="4">
        <v>3.3</v>
      </c>
      <c r="AW267" s="4">
        <v>3.02</v>
      </c>
      <c r="AX267" s="4">
        <v>2.7</v>
      </c>
      <c r="AY267" s="12">
        <v>2.76</v>
      </c>
      <c r="AZ267" s="12">
        <v>2.89</v>
      </c>
      <c r="BA267" s="12">
        <v>2.56</v>
      </c>
      <c r="BB267" s="15">
        <v>2.63</v>
      </c>
      <c r="BC267" s="52">
        <v>2.88</v>
      </c>
      <c r="BD267" s="52">
        <v>2.79</v>
      </c>
      <c r="BE267" s="52">
        <v>2.72</v>
      </c>
      <c r="BF267" s="52">
        <v>2.6</v>
      </c>
      <c r="BG267" s="67">
        <v>2.5</v>
      </c>
      <c r="BH267" s="52">
        <v>2.41</v>
      </c>
      <c r="BI267" s="52">
        <v>2.33</v>
      </c>
      <c r="BJ267" s="52">
        <v>2.2999999999999998</v>
      </c>
      <c r="BK267" s="52">
        <v>2.12</v>
      </c>
      <c r="BL267" s="52" cm="1">
        <f t="array" aca="1" ref="BL267" ca="1">_FV(EC267,"Preço")</f>
        <v>2.12</v>
      </c>
      <c r="BM267" s="69" t="s">
        <v>263</v>
      </c>
      <c r="BN267" s="36" cm="1">
        <f t="array" aca="1" ref="BN267" ca="1">_FV(EC267,"Média de volume",TRUE)</f>
        <v>3630820</v>
      </c>
      <c r="BO267" s="36">
        <v>148500</v>
      </c>
      <c r="BP267" s="36" cm="1">
        <f t="array" aca="1" ref="BP267" ca="1">_FV(EC267,"Volume")</f>
        <v>148500</v>
      </c>
      <c r="BQ267" s="24" cm="1">
        <f t="array" aca="1" ref="BQ267" ca="1">_FV(EC267,"Beta")</f>
        <v>1.4935</v>
      </c>
      <c r="BR267" s="71" cm="1">
        <f t="array" aca="1" ref="BR267" ca="1">_FV(EC267,"Variação (%)",TRUE)</f>
        <v>-4.9326999999999996E-2</v>
      </c>
      <c r="BT267" s="17" cm="1">
        <f t="array" aca="1" ref="BT267" ca="1">_FV(EC267,"Baixo")</f>
        <v>2.08</v>
      </c>
      <c r="BU267" s="17" cm="1">
        <f t="array" aca="1" ref="BU267" ca="1">_FV(EC267,"Alto")</f>
        <v>2.27</v>
      </c>
      <c r="BV267" s="24"/>
      <c r="BW267" s="63">
        <f ca="1">SQRT(22.5*(BL267/VLOOKUP(BM267,Fundamentus!A:U,3,FALSE))*(BL267/VLOOKUP(BM267,Fundamentus!A:U,4,FALSE)))</f>
        <v>2.4262088365088865</v>
      </c>
      <c r="BY267" s="62">
        <f t="shared" ca="1" si="308"/>
        <v>0</v>
      </c>
      <c r="BZ267" s="8"/>
      <c r="CA267" s="61">
        <f t="shared" si="309"/>
        <v>1.61</v>
      </c>
      <c r="CB267" s="61">
        <f t="shared" si="310"/>
        <v>7.56</v>
      </c>
      <c r="CC267" s="61">
        <f t="shared" si="311"/>
        <v>3.6077777777777778</v>
      </c>
      <c r="CD267" s="14"/>
      <c r="CE267" s="35">
        <f t="shared" si="285"/>
        <v>1.9393495096974005</v>
      </c>
      <c r="CF267" s="15">
        <f t="shared" si="312"/>
        <v>2.2450000000000045</v>
      </c>
      <c r="CG267" s="35">
        <f t="shared" si="286"/>
        <v>2.5506504903026084</v>
      </c>
      <c r="CI267" s="14"/>
      <c r="CJ267" s="17">
        <f t="shared" si="287"/>
        <v>-5.8633333333333333</v>
      </c>
      <c r="CK267" s="17">
        <f t="shared" si="288"/>
        <v>-2.1266666666666665</v>
      </c>
      <c r="CL267" s="17">
        <f t="shared" si="289"/>
        <v>8.6666666666666003E-2</v>
      </c>
      <c r="CM267" s="38">
        <f t="shared" si="313"/>
        <v>3.8233333333333328</v>
      </c>
      <c r="CN267" s="17">
        <f t="shared" si="290"/>
        <v>6.0366666666666653</v>
      </c>
      <c r="CO267" s="17">
        <f t="shared" si="291"/>
        <v>9.7733333333333317</v>
      </c>
      <c r="CP267" s="17">
        <f t="shared" si="292"/>
        <v>11.986666666666665</v>
      </c>
      <c r="CQ267" s="2" cm="1">
        <f t="array" aca="1" ref="CQ267" ca="1">MAX(_xlfn._xlws.FILTER(CJ267:CP267,CJ267:CP267&lt;BL267))</f>
        <v>8.6666666666666003E-2</v>
      </c>
      <c r="CR267" s="2" cm="1">
        <f t="array" aca="1" ref="CR267" ca="1">MIN(_xlfn._xlws.FILTER($CJ267:$CP267,$CJ267:$CP267&gt;BL267))</f>
        <v>3.8233333333333328</v>
      </c>
      <c r="CS267" s="16">
        <f t="shared" ca="1" si="293"/>
        <v>43.115384615384947</v>
      </c>
      <c r="CT267" s="20">
        <f t="shared" ca="1" si="294"/>
        <v>-21.557692307692474</v>
      </c>
      <c r="CU267" s="20">
        <f t="shared" ca="1" si="295"/>
        <v>-14.371794871794982</v>
      </c>
      <c r="CV267" s="20">
        <f t="shared" ca="1" si="296"/>
        <v>-8.6230769230769901</v>
      </c>
      <c r="CW267" s="20">
        <f t="shared" ca="1" si="297"/>
        <v>-4.7905982905983278</v>
      </c>
      <c r="CX267" s="20">
        <f t="shared" ca="1" si="315"/>
        <v>-2.5361990950226438</v>
      </c>
      <c r="CY267" s="20">
        <f t="shared" ca="1" si="316"/>
        <v>-1.3065268065268165</v>
      </c>
      <c r="CZ267" s="20">
        <f t="shared" ca="1" si="317"/>
        <v>-0.66331360946746076</v>
      </c>
      <c r="DA267" s="21">
        <f t="shared" ca="1" si="318"/>
        <v>0.66331360946746076</v>
      </c>
      <c r="DB267" s="21">
        <f t="shared" ca="1" si="319"/>
        <v>1.3065268065268165</v>
      </c>
      <c r="DC267" s="21">
        <f t="shared" ca="1" si="320"/>
        <v>2.5361990950226438</v>
      </c>
      <c r="DD267" s="21">
        <f t="shared" ca="1" si="298"/>
        <v>4.7905982905983278</v>
      </c>
      <c r="DE267" s="21">
        <f t="shared" ca="1" si="299"/>
        <v>8.6230769230769901</v>
      </c>
      <c r="DF267" s="21">
        <f t="shared" ca="1" si="300"/>
        <v>14.371794871794982</v>
      </c>
      <c r="DG267" s="21">
        <f t="shared" ca="1" si="301"/>
        <v>21.557692307692474</v>
      </c>
      <c r="DI267" s="16" cm="1">
        <f t="array" aca="1" ref="DI267" ca="1">MAX(_xlfn._xlws.FILTER(CT267:DG267,CT267:DG267&lt;BR267))</f>
        <v>-0.66331360946746076</v>
      </c>
      <c r="DJ267" s="16" cm="1">
        <f t="array" aca="1" ref="DJ267" ca="1">MIN(_xlfn._xlws.FILTER(CT267:DG267,CT267:DG267&gt;BR267))</f>
        <v>0.66331360946746076</v>
      </c>
      <c r="DK267" s="2" cm="1">
        <f t="array" aca="1" ref="DK267" ca="1">_FV(EC267,"Fechamento anterior",TRUE)</f>
        <v>2.23</v>
      </c>
      <c r="DL267" s="28">
        <f t="shared" ca="1" si="302"/>
        <v>0.4628174715880683</v>
      </c>
      <c r="DM267" s="15">
        <f t="shared" ca="1" si="283"/>
        <v>0.75081065088756249</v>
      </c>
      <c r="DN267" s="15">
        <f t="shared" ca="1" si="284"/>
        <v>3.7091893491124375</v>
      </c>
      <c r="DO267" s="9"/>
      <c r="DP267" s="9"/>
      <c r="DQ267" s="9"/>
      <c r="DR267" s="89">
        <v>0.32692307692307715</v>
      </c>
      <c r="DS267" s="89">
        <v>0.51328671328671172</v>
      </c>
      <c r="DT267" s="89">
        <v>1.3266272189349215</v>
      </c>
      <c r="DU267" s="89">
        <v>1.3266272189349215</v>
      </c>
      <c r="DV267" s="89">
        <f t="shared" ca="1" si="303"/>
        <v>1.3266272189349215</v>
      </c>
      <c r="DW267" s="72">
        <f t="shared" ca="1" si="304"/>
        <v>-0.40896384584971651</v>
      </c>
      <c r="DX267" s="37"/>
      <c r="DY267" s="35">
        <f t="shared" si="314"/>
        <v>0.152825245151302</v>
      </c>
      <c r="DZ267" s="56"/>
      <c r="EA267" s="56"/>
      <c r="EC267" s="2" t="e" vm="269">
        <v>#VALUE!</v>
      </c>
      <c r="EE267" s="10" cm="1">
        <f t="array" aca="1" ref="EE267" ca="1">_FV(EC267,"Ações em circulação",TRUE)</f>
        <v>31822290</v>
      </c>
      <c r="EF267" s="18">
        <f>VLOOKUP(BM267,Fundamentus!A:U,5,FALSE)</f>
        <v>7.2960000000000003</v>
      </c>
      <c r="EG267" s="2">
        <f t="shared" ca="1" si="305"/>
        <v>9246608.3881578948</v>
      </c>
      <c r="EH267" s="17">
        <v>-17256945.234819081</v>
      </c>
      <c r="EI267" s="17">
        <f t="shared" ca="1" si="306"/>
        <v>-17256945.234819081</v>
      </c>
      <c r="EK267" s="16">
        <f t="shared" ca="1" si="282"/>
        <v>0</v>
      </c>
      <c r="EL267" s="32" t="str">
        <f>IF(VLOOKUP(BM267,Fundamentus!A:U,3,FALSE)&lt;15,"Bom",IF(VLOOKUP(BM267,Fundamentus!A:U,3,FALSE)&gt;15,"Ruim","n/a"))</f>
        <v>Bom</v>
      </c>
      <c r="EM267" s="28" t="str">
        <f>IF(VLOOKUP(BM267,Fundamentus!A:U,4,FALSE)&lt;1,"Baixo",IF(VLOOKUP(BM267,Fundamentus!A:U,4,FALSE)&lt;1.5,"Moderado",IF(VLOOKUP(BM267,Fundamentus!A:U,4,FALSE)&gt;1.5,"Alto","n/a")))</f>
        <v>Baixo</v>
      </c>
      <c r="EN267" s="17" t="str">
        <f>IF(VLOOKUP(BM267,Fundamentus!A:U,8,FALSE)&lt;0,"Risco elevado",IF(VLOOKUP(BM267,Fundamentus!A:U,8,FALSE)&lt;1,"Saudável",IF(VLOOKUP(BM267,Fundamentus!A:U,8,FALSE)&lt;3,"Estável",IF(VLOOKUP(BM267,Fundamentus!A:U,8,FALSE)&gt;3,"Alerta","n/a"))))</f>
        <v>Risco elevado</v>
      </c>
      <c r="EO267" s="28" t="str">
        <f t="shared" si="307"/>
        <v>Bom</v>
      </c>
      <c r="EP267" s="17" t="str">
        <f>IF(VLOOKUP(BM267,Fundamentus!A:U,12,FALSE)&lt;2,"Subvalorizada",IF(VLOOKUP(BM267,Fundamentus!A:U,12,FALSE)&lt;6,"Muita barata",IF(VLOOKUP(BM267,Fundamentus!A:U,12,FALSE)&lt;6,"Barata",IF(VLOOKUP(BM267,Fundamentus!A:U,12,FALSE)&lt;8,"Atrativa",IF(VLOOKUP(BM267,Fundamentus!A:U,12,FALSE)&gt;8,"Supervalorizada","n/a")))))</f>
        <v>Subvalorizada</v>
      </c>
      <c r="ER267" s="17" t="str">
        <f>IF(VLOOKUP(BM267,Fundamentus!A:U,17,FALSE)&lt;0.1,"Fraco retorno",IF(VLOOKUP(BM267,Fundamentus!A:U,17,FALSE)&gt;0.1,"Bom retorno","n/a"))</f>
        <v>Bom retorno</v>
      </c>
      <c r="ES267" s="17" t="str">
        <f>IF(VLOOKUP(BM267,Fundamentus!A:U,16,FALSE)&lt;0.1,"Ineficiente",IF(VLOOKUP(BM267,Fundamentus!A:U,16,FALSE)&gt;0.1,"Eficiente","n/a"))</f>
        <v>Ineficiente</v>
      </c>
      <c r="ET267" s="33" t="str">
        <f>IF(VLOOKUP(BM267,Fundamentus!A:U,16,FALSE)&lt;0.1,"Oper. Ineficiente",IF(VLOOKUP(BM267,Fundamentus!A:U,16,FALSE)&gt;0.1,"Oper.Eficiente","n/a"))</f>
        <v>Oper. Ineficiente</v>
      </c>
      <c r="EU267" s="34">
        <f>VLOOKUP(BM267,Fundamentus!A:U,14,FALSE)</f>
        <v>-1.8663000000000001</v>
      </c>
      <c r="EV267" s="17" t="str">
        <f>IF(VLOOKUP(BM267,Fundamentus!A:U,21,FALSE)&lt;0,"Negativo",IF(VLOOKUP(BM267,Fundamentus!A:U,21,FALSE)&lt;0.05,"Fraco",IF(VLOOKUP(BM267,Fundamentus!A:U,21,FALSE)&lt;0.1,"Bom",IF(VLOOKUP(BM267,Fundamentus!A:U,21,FALSE)&gt;0.1,"Muito bom","n/a"))))</f>
        <v>Negativo</v>
      </c>
      <c r="EX267" s="29" t="str">
        <f>IF(VLOOKUP(BM267,Fundamentus!A:U,15,FALSE)&gt;1,"Bom",IF(VLOOKUP(BM267,Fundamentus!A:U,15,FALSE)&lt;1,"Ruim","n/a"))</f>
        <v>Ruim</v>
      </c>
      <c r="EY267" s="17" t="str">
        <f>IF(VLOOKUP(BM267,Fundamentus!A:U,20,FALSE)&lt;0.5,"Baixa",IF(VLOOKUP(BM267,Fundamentus!A:U,20,FALSE)&lt;1,"Moderada",IF(VLOOKUP(BM267,Fundamentus!A:U,20,FALSE)&lt;2,"Alerta",IF(VLOOKUP(BM267,Fundamentus!A:U,20,FALSE)&gt;2,"Alta","n/a"))))</f>
        <v>Baixa</v>
      </c>
    </row>
    <row r="268" spans="1:155" s="2" customFormat="1" ht="11.25" x14ac:dyDescent="0.2">
      <c r="A268" s="4">
        <v>10.65</v>
      </c>
      <c r="B268" s="4">
        <v>9.7899999999999991</v>
      </c>
      <c r="C268" s="4">
        <v>11.07</v>
      </c>
      <c r="D268" s="4">
        <v>10.49</v>
      </c>
      <c r="E268" s="4">
        <v>10.47</v>
      </c>
      <c r="F268" s="4">
        <v>10.41</v>
      </c>
      <c r="G268" s="4">
        <v>9.74</v>
      </c>
      <c r="H268" s="4">
        <v>9.8800000000000008</v>
      </c>
      <c r="I268" s="4">
        <v>9.86</v>
      </c>
      <c r="J268" s="4">
        <v>10.49</v>
      </c>
      <c r="K268" s="4">
        <v>10.46</v>
      </c>
      <c r="L268" s="4">
        <v>9.75</v>
      </c>
      <c r="M268" s="4">
        <v>9.6300000000000008</v>
      </c>
      <c r="N268" s="4">
        <v>8.74</v>
      </c>
      <c r="O268" s="4">
        <v>8.84</v>
      </c>
      <c r="P268" s="4">
        <v>8.7100000000000009</v>
      </c>
      <c r="Q268" s="4">
        <v>9.6</v>
      </c>
      <c r="R268" s="4">
        <v>8.65</v>
      </c>
      <c r="S268" s="4">
        <v>8.3800000000000008</v>
      </c>
      <c r="T268" s="4">
        <v>9.1999999999999993</v>
      </c>
      <c r="U268" s="4">
        <v>8.84</v>
      </c>
      <c r="V268" s="4">
        <v>8.0399999999999991</v>
      </c>
      <c r="W268" s="4">
        <v>8.2100000000000009</v>
      </c>
      <c r="X268" s="4">
        <v>8.01</v>
      </c>
      <c r="Y268" s="4">
        <v>7.76</v>
      </c>
      <c r="Z268" s="4">
        <v>7.14</v>
      </c>
      <c r="AA268" s="4">
        <v>7.27</v>
      </c>
      <c r="AB268" s="4">
        <v>7.32</v>
      </c>
      <c r="AC268" s="4">
        <v>7.95</v>
      </c>
      <c r="AD268" s="4">
        <v>8.15</v>
      </c>
      <c r="AE268" s="4">
        <v>6.7</v>
      </c>
      <c r="AF268" s="4">
        <v>6.36</v>
      </c>
      <c r="AG268" s="4">
        <v>5.85</v>
      </c>
      <c r="AH268" s="4">
        <v>5.94</v>
      </c>
      <c r="AI268" s="4">
        <v>5.35</v>
      </c>
      <c r="AJ268" s="4">
        <v>5.24</v>
      </c>
      <c r="AK268" s="4">
        <v>4.99</v>
      </c>
      <c r="AL268" s="4">
        <v>4.7699999999999996</v>
      </c>
      <c r="AM268" s="4">
        <v>4.88</v>
      </c>
      <c r="AN268" s="4">
        <v>4.92</v>
      </c>
      <c r="AO268" s="4">
        <v>4.1500000000000004</v>
      </c>
      <c r="AP268" s="4">
        <v>4.6399999999999997</v>
      </c>
      <c r="AQ268" s="4">
        <v>4.3899999999999997</v>
      </c>
      <c r="AR268" s="4">
        <v>4.41</v>
      </c>
      <c r="AS268" s="4">
        <v>4.3899999999999997</v>
      </c>
      <c r="AT268" s="4">
        <v>4.62</v>
      </c>
      <c r="AU268" s="4">
        <v>4.9400000000000004</v>
      </c>
      <c r="AV268" s="4">
        <v>4.05</v>
      </c>
      <c r="AW268" s="4">
        <v>3.99</v>
      </c>
      <c r="AX268" s="4">
        <v>4.3</v>
      </c>
      <c r="AY268" s="12">
        <v>4.4000000000000004</v>
      </c>
      <c r="AZ268" s="12">
        <v>4.66</v>
      </c>
      <c r="BA268" s="12">
        <v>4.38</v>
      </c>
      <c r="BB268" s="15">
        <v>4.53</v>
      </c>
      <c r="BC268" s="52">
        <v>4.59</v>
      </c>
      <c r="BD268" s="52">
        <v>4.33</v>
      </c>
      <c r="BE268" s="52">
        <v>4.9000000000000004</v>
      </c>
      <c r="BF268" s="52">
        <v>5.04</v>
      </c>
      <c r="BG268" s="67">
        <v>5</v>
      </c>
      <c r="BH268" s="52">
        <v>4</v>
      </c>
      <c r="BI268" s="52">
        <v>3.64</v>
      </c>
      <c r="BJ268" s="52">
        <v>3.76</v>
      </c>
      <c r="BK268" s="52">
        <v>4.03</v>
      </c>
      <c r="BL268" s="52" cm="1">
        <f t="array" aca="1" ref="BL268" ca="1">_FV(EC268,"Preço")</f>
        <v>4.03</v>
      </c>
      <c r="BM268" s="69" t="s">
        <v>264</v>
      </c>
      <c r="BN268" s="36" cm="1">
        <f t="array" aca="1" ref="BN268" ca="1">_FV(EC268,"Média de volume",TRUE)</f>
        <v>4040750</v>
      </c>
      <c r="BO268" s="36">
        <v>2649600</v>
      </c>
      <c r="BP268" s="36" cm="1">
        <f t="array" aca="1" ref="BP268" ca="1">_FV(EC268,"Volume")</f>
        <v>2649600</v>
      </c>
      <c r="BQ268" s="24" cm="1">
        <f t="array" aca="1" ref="BQ268" ca="1">_FV(EC268,"Beta")</f>
        <v>1.3655999999999999</v>
      </c>
      <c r="BR268" s="71" cm="1">
        <f t="array" aca="1" ref="BR268" ca="1">_FV(EC268,"Variação (%)",TRUE)</f>
        <v>4.9478999999999995E-2</v>
      </c>
      <c r="BT268" s="17" cm="1">
        <f t="array" aca="1" ref="BT268" ca="1">_FV(EC268,"Baixo")</f>
        <v>3.8</v>
      </c>
      <c r="BU268" s="17" cm="1">
        <f t="array" aca="1" ref="BU268" ca="1">_FV(EC268,"Alto")</f>
        <v>4.0599999999999996</v>
      </c>
      <c r="BV268" s="24"/>
      <c r="BW268" s="63">
        <f ca="1">SQRT(22.5*(BL268/VLOOKUP(BM268,Fundamentus!A:U,3,FALSE))*(BL268/VLOOKUP(BM268,Fundamentus!A:U,4,FALSE)))</f>
        <v>4.4782692471874217</v>
      </c>
      <c r="BY268" s="62">
        <f t="shared" ca="1" si="308"/>
        <v>0</v>
      </c>
      <c r="BZ268" s="8"/>
      <c r="CA268" s="61">
        <f t="shared" si="309"/>
        <v>3.64</v>
      </c>
      <c r="CB268" s="61">
        <f t="shared" si="310"/>
        <v>11.07</v>
      </c>
      <c r="CC268" s="61">
        <f t="shared" si="311"/>
        <v>6.819682539682538</v>
      </c>
      <c r="CD268" s="14"/>
      <c r="CE268" s="35">
        <f t="shared" si="285"/>
        <v>2.7397122116528245</v>
      </c>
      <c r="CF268" s="15">
        <f t="shared" si="312"/>
        <v>3.867999999999995</v>
      </c>
      <c r="CG268" s="35">
        <f t="shared" si="286"/>
        <v>4.9962877883471659</v>
      </c>
      <c r="CI268" s="14"/>
      <c r="CJ268" s="17">
        <f t="shared" si="287"/>
        <v>-6.1866666666666674</v>
      </c>
      <c r="CK268" s="17">
        <f t="shared" si="288"/>
        <v>-1.2733333333333334</v>
      </c>
      <c r="CL268" s="17">
        <f t="shared" si="289"/>
        <v>1.2433333333333323</v>
      </c>
      <c r="CM268" s="38">
        <f t="shared" si="313"/>
        <v>6.1566666666666663</v>
      </c>
      <c r="CN268" s="17">
        <f t="shared" si="290"/>
        <v>8.673333333333332</v>
      </c>
      <c r="CO268" s="17">
        <f t="shared" si="291"/>
        <v>13.586666666666666</v>
      </c>
      <c r="CP268" s="17">
        <f t="shared" si="292"/>
        <v>16.103333333333332</v>
      </c>
      <c r="CQ268" s="2" cm="1">
        <f t="array" aca="1" ref="CQ268" ca="1">MAX(_xlfn._xlws.FILTER(CJ268:CP268,CJ268:CP268&lt;BL268))</f>
        <v>1.2433333333333323</v>
      </c>
      <c r="CR268" s="2" cm="1">
        <f t="array" aca="1" ref="CR268" ca="1">MIN(_xlfn._xlws.FILTER($CJ268:$CP268,$CJ268:$CP268&gt;BL268))</f>
        <v>6.1566666666666663</v>
      </c>
      <c r="CS268" s="16">
        <f t="shared" ca="1" si="293"/>
        <v>3.9517426273458485</v>
      </c>
      <c r="CT268" s="20">
        <f t="shared" ca="1" si="294"/>
        <v>-1.9758713136729242</v>
      </c>
      <c r="CU268" s="20">
        <f t="shared" ca="1" si="295"/>
        <v>-1.3172475424486161</v>
      </c>
      <c r="CV268" s="20">
        <f t="shared" ca="1" si="296"/>
        <v>-0.79034852546916967</v>
      </c>
      <c r="CW268" s="20">
        <f t="shared" ca="1" si="297"/>
        <v>-0.43908251414953869</v>
      </c>
      <c r="CX268" s="20">
        <f t="shared" ca="1" si="315"/>
        <v>-0.23245544866740286</v>
      </c>
      <c r="CY268" s="20">
        <f t="shared" ca="1" si="316"/>
        <v>-0.11974977658623784</v>
      </c>
      <c r="CZ268" s="20">
        <f t="shared" ca="1" si="317"/>
        <v>-6.0796040420705362E-2</v>
      </c>
      <c r="DA268" s="21">
        <f t="shared" ca="1" si="318"/>
        <v>6.0796040420705362E-2</v>
      </c>
      <c r="DB268" s="21">
        <f t="shared" ca="1" si="319"/>
        <v>0.11974977658623784</v>
      </c>
      <c r="DC268" s="21">
        <f t="shared" ca="1" si="320"/>
        <v>0.23245544866740286</v>
      </c>
      <c r="DD268" s="21">
        <f t="shared" ca="1" si="298"/>
        <v>0.43908251414953869</v>
      </c>
      <c r="DE268" s="21">
        <f t="shared" ca="1" si="299"/>
        <v>0.79034852546916967</v>
      </c>
      <c r="DF268" s="21">
        <f t="shared" ca="1" si="300"/>
        <v>1.3172475424486161</v>
      </c>
      <c r="DG268" s="21">
        <f t="shared" ca="1" si="301"/>
        <v>1.9758713136729242</v>
      </c>
      <c r="DI268" s="16" cm="1">
        <f t="array" aca="1" ref="DI268" ca="1">MAX(_xlfn._xlws.FILTER(CT268:DG268,CT268:DG268&lt;BR268))</f>
        <v>-6.0796040420705362E-2</v>
      </c>
      <c r="DJ268" s="16" cm="1">
        <f t="array" aca="1" ref="DJ268" ca="1">MIN(_xlfn._xlws.FILTER(CT268:DG268,CT268:DG268&gt;BR268))</f>
        <v>6.0796040420705362E-2</v>
      </c>
      <c r="DK268" s="2" cm="1">
        <f t="array" aca="1" ref="DK268" ca="1">_FV(EC268,"Fechamento anterior",TRUE)</f>
        <v>3.84</v>
      </c>
      <c r="DL268" s="28">
        <f t="shared" ca="1" si="302"/>
        <v>0.90692754268430553</v>
      </c>
      <c r="DM268" s="15">
        <f t="shared" ca="1" si="283"/>
        <v>3.6065432047844914</v>
      </c>
      <c r="DN268" s="15">
        <f t="shared" ca="1" si="284"/>
        <v>4.0734567952155087</v>
      </c>
      <c r="DO268" s="9"/>
      <c r="DP268" s="9"/>
      <c r="DQ268" s="9"/>
      <c r="DR268" s="89">
        <v>9.4579246257098584E-2</v>
      </c>
      <c r="DS268" s="89">
        <v>5.8555048424802365E-2</v>
      </c>
      <c r="DT268" s="89">
        <v>0.12159208084141072</v>
      </c>
      <c r="DU268" s="89">
        <v>0.12159208084141072</v>
      </c>
      <c r="DV268" s="89">
        <f t="shared" ca="1" si="303"/>
        <v>0.12159208084141072</v>
      </c>
      <c r="DW268" s="72">
        <f t="shared" ca="1" si="304"/>
        <v>0.14358038939455256</v>
      </c>
      <c r="DX268" s="37"/>
      <c r="DY268" s="35">
        <f t="shared" si="314"/>
        <v>0.56414389417358524</v>
      </c>
      <c r="DZ268" s="56"/>
      <c r="EA268" s="56"/>
      <c r="EC268" s="2" t="e" vm="270">
        <v>#VALUE!</v>
      </c>
      <c r="EE268" s="10" cm="1">
        <f t="array" aca="1" ref="EE268" ca="1">_FV(EC268,"Ações em circulação",TRUE)</f>
        <v>346494100</v>
      </c>
      <c r="EF268" s="18">
        <f>VLOOKUP(BM268,Fundamentus!A:U,5,FALSE)</f>
        <v>0.95299999999999996</v>
      </c>
      <c r="EG268" s="2">
        <f t="shared" ca="1" si="305"/>
        <v>1465237379.8530955</v>
      </c>
      <c r="EH268" s="17">
        <v>104910996.39748164</v>
      </c>
      <c r="EI268" s="17">
        <f t="shared" ca="1" si="306"/>
        <v>104910996.39748164</v>
      </c>
      <c r="EK268" s="16">
        <f t="shared" ca="1" si="282"/>
        <v>0</v>
      </c>
      <c r="EL268" s="32" t="str">
        <f>IF(VLOOKUP(BM268,Fundamentus!A:U,3,FALSE)&lt;15,"Bom",IF(VLOOKUP(BM268,Fundamentus!A:U,3,FALSE)&gt;15,"Ruim","n/a"))</f>
        <v>Bom</v>
      </c>
      <c r="EM268" s="28" t="str">
        <f>IF(VLOOKUP(BM268,Fundamentus!A:U,4,FALSE)&lt;1,"Baixo",IF(VLOOKUP(BM268,Fundamentus!A:U,4,FALSE)&lt;1.5,"Moderado",IF(VLOOKUP(BM268,Fundamentus!A:U,4,FALSE)&gt;1.5,"Alto","n/a")))</f>
        <v>Moderado</v>
      </c>
      <c r="EN268" s="17" t="str">
        <f>IF(VLOOKUP(BM268,Fundamentus!A:U,8,FALSE)&lt;0,"Risco elevado",IF(VLOOKUP(BM268,Fundamentus!A:U,8,FALSE)&lt;1,"Saudável",IF(VLOOKUP(BM268,Fundamentus!A:U,8,FALSE)&lt;3,"Estável",IF(VLOOKUP(BM268,Fundamentus!A:U,8,FALSE)&gt;3,"Alerta","n/a"))))</f>
        <v>Estável</v>
      </c>
      <c r="EO268" s="28" t="str">
        <f t="shared" si="307"/>
        <v>Ruim</v>
      </c>
      <c r="EP268" s="17" t="str">
        <f>IF(VLOOKUP(BM268,Fundamentus!A:U,12,FALSE)&lt;2,"Subvalorizada",IF(VLOOKUP(BM268,Fundamentus!A:U,12,FALSE)&lt;6,"Muita barata",IF(VLOOKUP(BM268,Fundamentus!A:U,12,FALSE)&lt;6,"Barata",IF(VLOOKUP(BM268,Fundamentus!A:U,12,FALSE)&lt;8,"Atrativa",IF(VLOOKUP(BM268,Fundamentus!A:U,12,FALSE)&gt;8,"Supervalorizada","n/a")))))</f>
        <v>Muita barata</v>
      </c>
      <c r="ER268" s="17" t="str">
        <f>IF(VLOOKUP(BM268,Fundamentus!A:U,17,FALSE)&lt;0.1,"Fraco retorno",IF(VLOOKUP(BM268,Fundamentus!A:U,17,FALSE)&gt;0.1,"Bom retorno","n/a"))</f>
        <v>Bom retorno</v>
      </c>
      <c r="ES268" s="17" t="str">
        <f>IF(VLOOKUP(BM268,Fundamentus!A:U,16,FALSE)&lt;0.1,"Ineficiente",IF(VLOOKUP(BM268,Fundamentus!A:U,16,FALSE)&gt;0.1,"Eficiente","n/a"))</f>
        <v>Eficiente</v>
      </c>
      <c r="ET268" s="33" t="str">
        <f>IF(VLOOKUP(BM268,Fundamentus!A:U,16,FALSE)&lt;0.1,"Oper. Ineficiente",IF(VLOOKUP(BM268,Fundamentus!A:U,16,FALSE)&gt;0.1,"Oper.Eficiente","n/a"))</f>
        <v>Oper.Eficiente</v>
      </c>
      <c r="EU268" s="34">
        <f>VLOOKUP(BM268,Fundamentus!A:U,14,FALSE)</f>
        <v>7.1599999999999997E-2</v>
      </c>
      <c r="EV268" s="17" t="str">
        <f>IF(VLOOKUP(BM268,Fundamentus!A:U,21,FALSE)&lt;0,"Negativo",IF(VLOOKUP(BM268,Fundamentus!A:U,21,FALSE)&lt;0.05,"Fraco",IF(VLOOKUP(BM268,Fundamentus!A:U,21,FALSE)&lt;0.1,"Bom",IF(VLOOKUP(BM268,Fundamentus!A:U,21,FALSE)&gt;0.1,"Muito bom","n/a"))))</f>
        <v>Muito bom</v>
      </c>
      <c r="EX268" s="29" t="str">
        <f>IF(VLOOKUP(BM268,Fundamentus!A:U,15,FALSE)&gt;1,"Bom",IF(VLOOKUP(BM268,Fundamentus!A:U,15,FALSE)&lt;1,"Ruim","n/a"))</f>
        <v>Bom</v>
      </c>
      <c r="EY268" s="17" t="str">
        <f>IF(VLOOKUP(BM268,Fundamentus!A:U,20,FALSE)&lt;0.5,"Baixa",IF(VLOOKUP(BM268,Fundamentus!A:U,20,FALSE)&lt;1,"Moderada",IF(VLOOKUP(BM268,Fundamentus!A:U,20,FALSE)&lt;2,"Alerta",IF(VLOOKUP(BM268,Fundamentus!A:U,20,FALSE)&gt;2,"Alta","n/a"))))</f>
        <v>Alerta</v>
      </c>
    </row>
    <row r="269" spans="1:155" s="5" customFormat="1" ht="11.25" x14ac:dyDescent="0.2">
      <c r="A269" s="4">
        <v>2.13</v>
      </c>
      <c r="B269" s="4">
        <v>2.12</v>
      </c>
      <c r="C269" s="4">
        <v>2.04</v>
      </c>
      <c r="D269" s="4">
        <v>2.2000000000000002</v>
      </c>
      <c r="E269" s="4">
        <v>2.38</v>
      </c>
      <c r="F269" s="4">
        <v>2.25</v>
      </c>
      <c r="G269" s="4">
        <v>2.2999999999999998</v>
      </c>
      <c r="H269" s="4">
        <v>2.2599999999999998</v>
      </c>
      <c r="I269" s="4">
        <v>1.91</v>
      </c>
      <c r="J269" s="4">
        <v>1.94</v>
      </c>
      <c r="K269" s="4">
        <v>2</v>
      </c>
      <c r="L269" s="4">
        <v>1.99</v>
      </c>
      <c r="M269" s="4">
        <v>1.96</v>
      </c>
      <c r="N269" s="4">
        <v>1.72</v>
      </c>
      <c r="O269" s="4">
        <v>1.65</v>
      </c>
      <c r="P269" s="4">
        <v>1.5</v>
      </c>
      <c r="Q269" s="4">
        <v>1.38</v>
      </c>
      <c r="R269" s="4">
        <v>1.38</v>
      </c>
      <c r="S269" s="4">
        <v>1.34</v>
      </c>
      <c r="T269" s="4">
        <v>1.39</v>
      </c>
      <c r="U269" s="4">
        <v>1.47</v>
      </c>
      <c r="V269" s="4">
        <v>1.65</v>
      </c>
      <c r="W269" s="4">
        <v>1.5</v>
      </c>
      <c r="X269" s="4">
        <v>1.51</v>
      </c>
      <c r="Y269" s="4">
        <v>1.39</v>
      </c>
      <c r="Z269" s="4">
        <v>1.35</v>
      </c>
      <c r="AA269" s="4">
        <v>1.38</v>
      </c>
      <c r="AB269" s="4">
        <v>1.33</v>
      </c>
      <c r="AC269" s="4">
        <v>1.33</v>
      </c>
      <c r="AD269" s="4">
        <v>1.3</v>
      </c>
      <c r="AE269" s="4">
        <v>1.29</v>
      </c>
      <c r="AF269" s="4">
        <v>1.19</v>
      </c>
      <c r="AG269" s="4">
        <v>1.19</v>
      </c>
      <c r="AH269" s="4">
        <v>1.1000000000000001</v>
      </c>
      <c r="AI269" s="4">
        <v>1.1100000000000001</v>
      </c>
      <c r="AJ269" s="4">
        <v>1.18</v>
      </c>
      <c r="AK269" s="4">
        <v>1.3</v>
      </c>
      <c r="AL269" s="4">
        <v>1.1399999999999999</v>
      </c>
      <c r="AM269" s="4">
        <v>1.1100000000000001</v>
      </c>
      <c r="AN269" s="4">
        <v>1.1299999999999999</v>
      </c>
      <c r="AO269" s="4">
        <v>1.1299999999999999</v>
      </c>
      <c r="AP269" s="4">
        <v>1.1399999999999999</v>
      </c>
      <c r="AQ269" s="4">
        <v>1.1200000000000001</v>
      </c>
      <c r="AR269" s="4">
        <v>1.1499999999999999</v>
      </c>
      <c r="AS269" s="4">
        <v>1.1100000000000001</v>
      </c>
      <c r="AT269" s="4">
        <v>1.1399999999999999</v>
      </c>
      <c r="AU269" s="4">
        <v>1.125</v>
      </c>
      <c r="AV269" s="4">
        <v>1.2</v>
      </c>
      <c r="AW269" s="4">
        <v>1.24</v>
      </c>
      <c r="AX269" s="4">
        <v>1.18</v>
      </c>
      <c r="AY269" s="12">
        <v>1.22</v>
      </c>
      <c r="AZ269" s="12">
        <v>1.25</v>
      </c>
      <c r="BA269" s="12">
        <v>1.26</v>
      </c>
      <c r="BB269" s="15">
        <v>1.18</v>
      </c>
      <c r="BC269" s="52">
        <v>1.2</v>
      </c>
      <c r="BD269" s="52">
        <v>1.27</v>
      </c>
      <c r="BE269" s="52">
        <v>1.26</v>
      </c>
      <c r="BF269" s="52">
        <v>1.25</v>
      </c>
      <c r="BG269" s="67">
        <v>1.19</v>
      </c>
      <c r="BH269" s="52">
        <v>1.18</v>
      </c>
      <c r="BI269" s="52">
        <v>1.17</v>
      </c>
      <c r="BJ269" s="52">
        <v>1.19</v>
      </c>
      <c r="BK269" s="52">
        <v>1.1200000000000001</v>
      </c>
      <c r="BL269" s="52" cm="1">
        <f t="array" aca="1" ref="BL269" ca="1">_FV(EC269,"Preço")</f>
        <v>1.1200000000000001</v>
      </c>
      <c r="BM269" s="69" t="s">
        <v>265</v>
      </c>
      <c r="BN269" s="36" cm="1">
        <f t="array" aca="1" ref="BN269" ca="1">_FV(EC269,"Média de volume",TRUE)</f>
        <v>860</v>
      </c>
      <c r="BO269" s="36">
        <v>600</v>
      </c>
      <c r="BP269" s="36" cm="1">
        <f t="array" aca="1" ref="BP269" ca="1">_FV(EC269,"Volume")</f>
        <v>600</v>
      </c>
      <c r="BQ269" s="24" cm="1">
        <f t="array" aca="1" ref="BQ269" ca="1">_FV(EC269,"Beta")</f>
        <v>1.7034</v>
      </c>
      <c r="BR269" s="71" cm="1">
        <f t="array" aca="1" ref="BR269" ca="1">_FV(EC269,"Variação (%)",TRUE)</f>
        <v>-4.2735000000000002E-2</v>
      </c>
      <c r="BT269" s="17" cm="1">
        <f t="array" aca="1" ref="BT269" ca="1">_FV(EC269,"Baixo")</f>
        <v>1.1200000000000001</v>
      </c>
      <c r="BU269" s="17" cm="1">
        <f t="array" aca="1" ref="BU269" ca="1">_FV(EC269,"Alto")</f>
        <v>1.1399999999999999</v>
      </c>
      <c r="BV269" s="24"/>
      <c r="BW269" s="63" t="e">
        <f ca="1">SQRT(22.5*(BL269/VLOOKUP(BM269,Fundamentus!A:U,3,FALSE))*(BL269/VLOOKUP(BM269,Fundamentus!A:U,4,FALSE)))</f>
        <v>#NUM!</v>
      </c>
      <c r="BY269" s="62">
        <f t="shared" ca="1" si="308"/>
        <v>0</v>
      </c>
      <c r="BZ269" s="8"/>
      <c r="CA269" s="61">
        <f t="shared" si="309"/>
        <v>1.1000000000000001</v>
      </c>
      <c r="CB269" s="61">
        <f t="shared" si="310"/>
        <v>2.38</v>
      </c>
      <c r="CC269" s="61">
        <f t="shared" si="311"/>
        <v>1.4454761904761908</v>
      </c>
      <c r="CD269" s="14"/>
      <c r="CE269" s="35">
        <f t="shared" si="285"/>
        <v>1.0806965123849468</v>
      </c>
      <c r="CF269" s="15">
        <f t="shared" si="312"/>
        <v>1.1570000000000107</v>
      </c>
      <c r="CG269" s="35">
        <f t="shared" si="286"/>
        <v>1.2333034876150746</v>
      </c>
      <c r="CI269" s="14"/>
      <c r="CJ269" s="17">
        <f t="shared" si="287"/>
        <v>-0.54666666666666641</v>
      </c>
      <c r="CK269" s="17">
        <f t="shared" si="288"/>
        <v>0.27666666666666684</v>
      </c>
      <c r="CL269" s="17">
        <f t="shared" si="289"/>
        <v>0.73333333333333339</v>
      </c>
      <c r="CM269" s="38">
        <f t="shared" si="313"/>
        <v>1.5566666666666666</v>
      </c>
      <c r="CN269" s="17">
        <f t="shared" si="290"/>
        <v>2.0133333333333332</v>
      </c>
      <c r="CO269" s="17">
        <f t="shared" si="291"/>
        <v>2.8366666666666664</v>
      </c>
      <c r="CP269" s="17">
        <f t="shared" si="292"/>
        <v>3.293333333333333</v>
      </c>
      <c r="CQ269" s="2" cm="1">
        <f t="array" aca="1" ref="CQ269" ca="1">MAX(_xlfn._xlws.FILTER(CJ269:CP269,CJ269:CP269&lt;BL269))</f>
        <v>0.73333333333333339</v>
      </c>
      <c r="CR269" s="2" cm="1">
        <f t="array" aca="1" ref="CR269" ca="1">MIN(_xlfn._xlws.FILTER($CJ269:$CP269,$CJ269:$CP269&gt;BL269))</f>
        <v>1.5566666666666666</v>
      </c>
      <c r="CS269" s="16">
        <f t="shared" ca="1" si="293"/>
        <v>1.1227272727272726</v>
      </c>
      <c r="CT269" s="20">
        <f t="shared" ca="1" si="294"/>
        <v>-0.56136363636363629</v>
      </c>
      <c r="CU269" s="20">
        <f t="shared" ca="1" si="295"/>
        <v>-0.37424242424242421</v>
      </c>
      <c r="CV269" s="20">
        <f t="shared" ca="1" si="296"/>
        <v>-0.22454545454545452</v>
      </c>
      <c r="CW269" s="20">
        <f t="shared" ca="1" si="297"/>
        <v>-0.12474747474747473</v>
      </c>
      <c r="CX269" s="20">
        <f t="shared" ca="1" si="315"/>
        <v>-6.6042780748663099E-2</v>
      </c>
      <c r="CY269" s="20">
        <f t="shared" ca="1" si="316"/>
        <v>-3.4022038567493106E-2</v>
      </c>
      <c r="CZ269" s="20">
        <f t="shared" ca="1" si="317"/>
        <v>-1.7272727272727269E-2</v>
      </c>
      <c r="DA269" s="21">
        <f t="shared" ca="1" si="318"/>
        <v>1.7272727272727269E-2</v>
      </c>
      <c r="DB269" s="21">
        <f t="shared" ca="1" si="319"/>
        <v>3.4022038567493106E-2</v>
      </c>
      <c r="DC269" s="21">
        <f t="shared" ca="1" si="320"/>
        <v>6.6042780748663099E-2</v>
      </c>
      <c r="DD269" s="21">
        <f t="shared" ca="1" si="298"/>
        <v>0.12474747474747473</v>
      </c>
      <c r="DE269" s="21">
        <f t="shared" ca="1" si="299"/>
        <v>0.22454545454545452</v>
      </c>
      <c r="DF269" s="21">
        <f t="shared" ca="1" si="300"/>
        <v>0.37424242424242421</v>
      </c>
      <c r="DG269" s="21">
        <f t="shared" ca="1" si="301"/>
        <v>0.56136363636363629</v>
      </c>
      <c r="DI269" s="16" cm="1">
        <f t="array" aca="1" ref="DI269" ca="1">MAX(_xlfn._xlws.FILTER(CT269:DG269,CT269:DG269&lt;BR269))</f>
        <v>-6.6042780748663099E-2</v>
      </c>
      <c r="DJ269" s="16" cm="1">
        <f t="array" aca="1" ref="DJ269" ca="1">MIN(_xlfn._xlws.FILTER(CT269:DG269,CT269:DG269&gt;BR269))</f>
        <v>-3.4022038567493106E-2</v>
      </c>
      <c r="DK269" s="2" cm="1">
        <f t="array" aca="1" ref="DK269" ca="1">_FV(EC269,"Fechamento anterior",TRUE)</f>
        <v>1.17</v>
      </c>
      <c r="DL269" s="28">
        <f t="shared" ca="1" si="302"/>
        <v>0.72789499636666311</v>
      </c>
      <c r="DM269" s="15">
        <f t="shared" ca="1" si="283"/>
        <v>1.0927299465240641</v>
      </c>
      <c r="DN269" s="15">
        <f t="shared" ca="1" si="284"/>
        <v>1.1301942148760329</v>
      </c>
      <c r="DO269" s="9"/>
      <c r="DP269" s="9"/>
      <c r="DQ269" s="9"/>
      <c r="DR269" s="89">
        <v>1.9469795740982176E-2</v>
      </c>
      <c r="DS269" s="89">
        <v>3.4545454545454539E-2</v>
      </c>
      <c r="DT269" s="89">
        <v>3.4545454545454539E-2</v>
      </c>
      <c r="DU269" s="89">
        <v>3.2020742181169994E-2</v>
      </c>
      <c r="DV269" s="89">
        <f t="shared" ca="1" si="303"/>
        <v>3.2020742181169994E-2</v>
      </c>
      <c r="DW269" s="72">
        <f t="shared" ca="1" si="304"/>
        <v>-0.48490575144701525</v>
      </c>
      <c r="DX269" s="37"/>
      <c r="DY269" s="35">
        <f t="shared" si="314"/>
        <v>3.8151743807531967E-2</v>
      </c>
      <c r="DZ269" s="56"/>
      <c r="EA269" s="56"/>
      <c r="EC269" s="5" t="e" vm="271">
        <v>#VALUE!</v>
      </c>
      <c r="EE269" s="10" cm="1">
        <f t="array" aca="1" ref="EE269" ca="1">_FV(EC269,"Ações em circulação",TRUE)</f>
        <v>26710360</v>
      </c>
      <c r="EF269" s="18">
        <f>VLOOKUP(BM269,Fundamentus!A:U,5,FALSE)</f>
        <v>8.5000000000000006E-2</v>
      </c>
      <c r="EG269" s="2">
        <f t="shared" ca="1" si="305"/>
        <v>351948272.94117647</v>
      </c>
      <c r="EH269" s="17">
        <v>-144791519.48800001</v>
      </c>
      <c r="EI269" s="17">
        <f t="shared" ca="1" si="306"/>
        <v>-144791519.48800001</v>
      </c>
      <c r="EJ269" s="2"/>
      <c r="EK269" s="16">
        <f t="shared" ca="1" si="282"/>
        <v>0</v>
      </c>
      <c r="EL269" s="32" t="str">
        <f>IF(VLOOKUP(BM269,Fundamentus!A:U,3,FALSE)&lt;15,"Bom",IF(VLOOKUP(BM269,Fundamentus!A:U,3,FALSE)&gt;15,"Ruim","n/a"))</f>
        <v>Bom</v>
      </c>
      <c r="EM269" s="28" t="str">
        <f>IF(VLOOKUP(BM269,Fundamentus!A:U,4,FALSE)&lt;1,"Baixo",IF(VLOOKUP(BM269,Fundamentus!A:U,4,FALSE)&lt;1.5,"Moderado",IF(VLOOKUP(BM269,Fundamentus!A:U,4,FALSE)&gt;1.5,"Alto","n/a")))</f>
        <v>Baixo</v>
      </c>
      <c r="EN269" s="17" t="str">
        <f>IF(VLOOKUP(BM269,Fundamentus!A:U,8,FALSE)&lt;0,"Risco elevado",IF(VLOOKUP(BM269,Fundamentus!A:U,8,FALSE)&lt;1,"Saudável",IF(VLOOKUP(BM269,Fundamentus!A:U,8,FALSE)&lt;3,"Estável",IF(VLOOKUP(BM269,Fundamentus!A:U,8,FALSE)&gt;3,"Alerta","n/a"))))</f>
        <v>Risco elevado</v>
      </c>
      <c r="EO269" s="28" t="str">
        <f t="shared" si="307"/>
        <v>Ruim</v>
      </c>
      <c r="EP269" s="17" t="str">
        <f>IF(VLOOKUP(BM269,Fundamentus!A:U,12,FALSE)&lt;2,"Subvalorizada",IF(VLOOKUP(BM269,Fundamentus!A:U,12,FALSE)&lt;6,"Muita barata",IF(VLOOKUP(BM269,Fundamentus!A:U,12,FALSE)&lt;6,"Barata",IF(VLOOKUP(BM269,Fundamentus!A:U,12,FALSE)&lt;8,"Atrativa",IF(VLOOKUP(BM269,Fundamentus!A:U,12,FALSE)&gt;8,"Supervalorizada","n/a")))))</f>
        <v>Subvalorizada</v>
      </c>
      <c r="EQ269" s="2"/>
      <c r="ER269" s="17" t="str">
        <f>IF(VLOOKUP(BM269,Fundamentus!A:U,17,FALSE)&lt;0.1,"Fraco retorno",IF(VLOOKUP(BM269,Fundamentus!A:U,17,FALSE)&gt;0.1,"Bom retorno","n/a"))</f>
        <v>Fraco retorno</v>
      </c>
      <c r="ES269" s="17" t="str">
        <f>IF(VLOOKUP(BM269,Fundamentus!A:U,16,FALSE)&lt;0.1,"Ineficiente",IF(VLOOKUP(BM269,Fundamentus!A:U,16,FALSE)&gt;0.1,"Eficiente","n/a"))</f>
        <v>Ineficiente</v>
      </c>
      <c r="ET269" s="33" t="str">
        <f>IF(VLOOKUP(BM269,Fundamentus!A:U,16,FALSE)&lt;0.1,"Oper. Ineficiente",IF(VLOOKUP(BM269,Fundamentus!A:U,16,FALSE)&gt;0.1,"Oper.Eficiente","n/a"))</f>
        <v>Oper. Ineficiente</v>
      </c>
      <c r="EU269" s="34">
        <f>VLOOKUP(BM269,Fundamentus!A:U,14,FALSE)</f>
        <v>-0.41139999999999999</v>
      </c>
      <c r="EV269" s="17" t="str">
        <f>IF(VLOOKUP(BM269,Fundamentus!A:U,21,FALSE)&lt;0,"Negativo",IF(VLOOKUP(BM269,Fundamentus!A:U,21,FALSE)&lt;0.05,"Fraco",IF(VLOOKUP(BM269,Fundamentus!A:U,21,FALSE)&lt;0.1,"Bom",IF(VLOOKUP(BM269,Fundamentus!A:U,21,FALSE)&gt;0.1,"Muito bom","n/a"))))</f>
        <v>Negativo</v>
      </c>
      <c r="EX269" s="29" t="str">
        <f>IF(VLOOKUP(BM269,Fundamentus!A:U,15,FALSE)&gt;1,"Bom",IF(VLOOKUP(BM269,Fundamentus!A:U,15,FALSE)&lt;1,"Ruim","n/a"))</f>
        <v>Ruim</v>
      </c>
      <c r="EY269" s="17" t="str">
        <f>IF(VLOOKUP(BM269,Fundamentus!A:U,20,FALSE)&lt;0.5,"Baixa",IF(VLOOKUP(BM269,Fundamentus!A:U,20,FALSE)&lt;1,"Moderada",IF(VLOOKUP(BM269,Fundamentus!A:U,20,FALSE)&lt;2,"Alerta",IF(VLOOKUP(BM269,Fundamentus!A:U,20,FALSE)&gt;2,"Alta","n/a"))))</f>
        <v>Alta</v>
      </c>
    </row>
    <row r="270" spans="1:155" s="2" customFormat="1" ht="11.25" x14ac:dyDescent="0.2">
      <c r="A270" s="4">
        <v>5.59</v>
      </c>
      <c r="B270" s="4">
        <v>5.59</v>
      </c>
      <c r="C270" s="4">
        <v>5.58</v>
      </c>
      <c r="D270" s="4">
        <v>5.56</v>
      </c>
      <c r="E270" s="4">
        <v>5.6</v>
      </c>
      <c r="F270" s="4">
        <v>5.64</v>
      </c>
      <c r="G270" s="4">
        <v>5.64</v>
      </c>
      <c r="H270" s="4">
        <v>5.64</v>
      </c>
      <c r="I270" s="4">
        <v>5.63</v>
      </c>
      <c r="J270" s="4">
        <v>5.68</v>
      </c>
      <c r="K270" s="4">
        <v>5.73</v>
      </c>
      <c r="L270" s="4">
        <v>5.75</v>
      </c>
      <c r="M270" s="4">
        <v>5.76</v>
      </c>
      <c r="N270" s="4">
        <v>5.78</v>
      </c>
      <c r="O270" s="4">
        <v>5.79</v>
      </c>
      <c r="P270" s="4">
        <v>5.82</v>
      </c>
      <c r="Q270" s="4">
        <v>5.83</v>
      </c>
      <c r="R270" s="4">
        <v>5.83</v>
      </c>
      <c r="S270" s="4">
        <v>5.83</v>
      </c>
      <c r="T270" s="4">
        <v>5.83</v>
      </c>
      <c r="U270" s="4">
        <v>5.83</v>
      </c>
      <c r="V270" s="4">
        <v>5.83</v>
      </c>
      <c r="W270" s="4">
        <v>5.83</v>
      </c>
      <c r="X270" s="4">
        <v>5.83</v>
      </c>
      <c r="Y270" s="4">
        <v>5.83</v>
      </c>
      <c r="Z270" s="4">
        <v>5.83</v>
      </c>
      <c r="AA270" s="4">
        <v>5.83</v>
      </c>
      <c r="AB270" s="4">
        <v>5.83</v>
      </c>
      <c r="AC270" s="4">
        <v>5.83</v>
      </c>
      <c r="AD270" s="4">
        <v>5.83</v>
      </c>
      <c r="AE270" s="4">
        <v>5.83</v>
      </c>
      <c r="AF270" s="4">
        <v>5.83</v>
      </c>
      <c r="AG270" s="4">
        <v>5.83</v>
      </c>
      <c r="AH270" s="4" t="e">
        <v>#N/A</v>
      </c>
      <c r="AI270" s="4">
        <v>5.83</v>
      </c>
      <c r="AJ270" s="4">
        <v>5.83</v>
      </c>
      <c r="AK270" s="4">
        <v>5.83</v>
      </c>
      <c r="AL270" s="4">
        <v>5.83</v>
      </c>
      <c r="AM270" s="4">
        <v>5.83</v>
      </c>
      <c r="AN270" s="4">
        <v>5.83</v>
      </c>
      <c r="AO270" s="4">
        <v>5.83</v>
      </c>
      <c r="AP270" s="4">
        <v>5.83</v>
      </c>
      <c r="AQ270" s="4">
        <v>5.83</v>
      </c>
      <c r="AR270" s="4">
        <v>5.83</v>
      </c>
      <c r="AS270" s="4">
        <v>5.83</v>
      </c>
      <c r="AT270" s="4">
        <v>5.83</v>
      </c>
      <c r="AU270" s="4">
        <v>5.8250000000000002</v>
      </c>
      <c r="AV270" s="4">
        <v>5.83</v>
      </c>
      <c r="AW270" s="4">
        <v>5.83</v>
      </c>
      <c r="AX270" s="4">
        <v>5.83</v>
      </c>
      <c r="AY270" s="12">
        <v>5.83</v>
      </c>
      <c r="AZ270" s="12">
        <v>5.83</v>
      </c>
      <c r="BA270" s="12">
        <v>5.83</v>
      </c>
      <c r="BB270" s="15" t="e" vm="272">
        <v>#VALUE!</v>
      </c>
      <c r="BC270" s="52" t="e" vm="272">
        <v>#VALUE!</v>
      </c>
      <c r="BD270" s="52" t="e" vm="272">
        <v>#VALUE!</v>
      </c>
      <c r="BE270" s="52" t="e" vm="272">
        <v>#VALUE!</v>
      </c>
      <c r="BF270" s="52" t="e" vm="272">
        <v>#VALUE!</v>
      </c>
      <c r="BG270" s="67" t="e" vm="272">
        <v>#VALUE!</v>
      </c>
      <c r="BH270" s="52" t="e" vm="272">
        <v>#VALUE!</v>
      </c>
      <c r="BI270" s="52" t="e" vm="272">
        <v>#VALUE!</v>
      </c>
      <c r="BJ270" s="52" t="e" vm="272">
        <v>#VALUE!</v>
      </c>
      <c r="BK270" s="52" t="e" vm="272">
        <v>#VALUE!</v>
      </c>
      <c r="BL270" s="52" t="e" cm="1" vm="272">
        <f t="array" ref="BL270">_FV(EC270,"Preço")</f>
        <v>#VALUE!</v>
      </c>
      <c r="BM270" s="69" t="s">
        <v>266</v>
      </c>
      <c r="BN270" s="36" t="e" cm="1" vm="3">
        <f t="array" ref="BN270">_FV(EC270,"Média de volume",TRUE)</f>
        <v>#VALUE!</v>
      </c>
      <c r="BO270" s="36" t="e" vm="273">
        <v>#VALUE!</v>
      </c>
      <c r="BP270" s="36" t="e" cm="1" vm="273">
        <f t="array" ref="BP270">_FV(EC270,"Volume")</f>
        <v>#VALUE!</v>
      </c>
      <c r="BQ270" s="24" t="e" cm="1" vm="137">
        <f t="array" ref="BQ270">_FV(EC270,"Beta")</f>
        <v>#VALUE!</v>
      </c>
      <c r="BR270" s="71" t="e" cm="1" vm="274">
        <f t="array" ref="BR270">_FV(EC270,"Variação (%)",TRUE)</f>
        <v>#VALUE!</v>
      </c>
      <c r="BT270" s="17" t="e" cm="1" vm="275">
        <f t="array" ref="BT270">_FV(EC270,"Baixo")</f>
        <v>#VALUE!</v>
      </c>
      <c r="BU270" s="17" t="e" cm="1" vm="276">
        <f t="array" ref="BU270">_FV(EC270,"Alto")</f>
        <v>#VALUE!</v>
      </c>
      <c r="BV270" s="24"/>
      <c r="BW270" s="63" t="e" vm="152">
        <f>SQRT(22.5*(BL270/VLOOKUP(BM270,Fundamentus!A:U,3,FALSE))*(BL270/VLOOKUP(BM270,Fundamentus!A:U,4,FALSE)))</f>
        <v>#VALUE!</v>
      </c>
      <c r="BY270" s="62" t="e" vm="152">
        <f t="shared" si="308"/>
        <v>#VALUE!</v>
      </c>
      <c r="BZ270" s="8"/>
      <c r="CA270" s="61" t="e">
        <f t="shared" si="309"/>
        <v>#N/A</v>
      </c>
      <c r="CB270" s="61" t="e">
        <f t="shared" si="310"/>
        <v>#N/A</v>
      </c>
      <c r="CC270" s="61" t="e">
        <f t="shared" si="311"/>
        <v>#N/A</v>
      </c>
      <c r="CD270" s="14"/>
      <c r="CE270" s="35" t="e">
        <f t="shared" si="285"/>
        <v>#VALUE!</v>
      </c>
      <c r="CF270" s="15" t="e">
        <f t="shared" si="312"/>
        <v>#VALUE!</v>
      </c>
      <c r="CG270" s="35" t="e">
        <f t="shared" si="286"/>
        <v>#VALUE!</v>
      </c>
      <c r="CI270" s="14"/>
      <c r="CJ270" s="17" t="e">
        <f t="shared" si="287"/>
        <v>#N/A</v>
      </c>
      <c r="CK270" s="17" t="e">
        <f t="shared" si="288"/>
        <v>#N/A</v>
      </c>
      <c r="CL270" s="17" t="e">
        <f t="shared" si="289"/>
        <v>#N/A</v>
      </c>
      <c r="CM270" s="38" t="e">
        <f t="shared" si="313"/>
        <v>#N/A</v>
      </c>
      <c r="CN270" s="17" t="e">
        <f t="shared" si="290"/>
        <v>#N/A</v>
      </c>
      <c r="CO270" s="17" t="e">
        <f t="shared" si="291"/>
        <v>#N/A</v>
      </c>
      <c r="CP270" s="17" t="e">
        <f t="shared" si="292"/>
        <v>#N/A</v>
      </c>
      <c r="CQ270" s="2" t="e" cm="1">
        <f t="array" ref="CQ270">MAX(_xlfn._xlws.FILTER(CJ270:CP270,CJ270:CP270&lt;BL270))</f>
        <v>#N/A</v>
      </c>
      <c r="CR270" s="2" t="e" cm="1">
        <f t="array" ref="CR270">MIN(_xlfn._xlws.FILTER($CJ270:$CP270,$CJ270:$CP270&gt;BL270))</f>
        <v>#N/A</v>
      </c>
      <c r="CS270" s="16" t="e">
        <f t="shared" si="293"/>
        <v>#N/A</v>
      </c>
      <c r="CT270" s="20" t="e">
        <f t="shared" si="294"/>
        <v>#N/A</v>
      </c>
      <c r="CU270" s="20" t="e">
        <f t="shared" si="295"/>
        <v>#N/A</v>
      </c>
      <c r="CV270" s="20" t="e">
        <f t="shared" si="296"/>
        <v>#N/A</v>
      </c>
      <c r="CW270" s="20" t="e">
        <f t="shared" si="297"/>
        <v>#N/A</v>
      </c>
      <c r="CX270" s="20" t="e">
        <f t="shared" si="315"/>
        <v>#N/A</v>
      </c>
      <c r="CY270" s="20" t="e">
        <f t="shared" si="316"/>
        <v>#N/A</v>
      </c>
      <c r="CZ270" s="20" t="e">
        <f t="shared" si="317"/>
        <v>#N/A</v>
      </c>
      <c r="DA270" s="21" t="e">
        <f t="shared" si="318"/>
        <v>#N/A</v>
      </c>
      <c r="DB270" s="21" t="e">
        <f t="shared" si="319"/>
        <v>#N/A</v>
      </c>
      <c r="DC270" s="21" t="e">
        <f t="shared" si="320"/>
        <v>#N/A</v>
      </c>
      <c r="DD270" s="21" t="e">
        <f t="shared" si="298"/>
        <v>#N/A</v>
      </c>
      <c r="DE270" s="21" t="e">
        <f t="shared" si="299"/>
        <v>#N/A</v>
      </c>
      <c r="DF270" s="21" t="e">
        <f t="shared" si="300"/>
        <v>#N/A</v>
      </c>
      <c r="DG270" s="21" t="e">
        <f t="shared" si="301"/>
        <v>#N/A</v>
      </c>
      <c r="DI270" s="16" t="e" cm="1">
        <f t="array" ref="DI270">MAX(_xlfn._xlws.FILTER(CT270:DG270,CT270:DG270&lt;BR270))</f>
        <v>#N/A</v>
      </c>
      <c r="DJ270" s="16" t="e" cm="1">
        <f t="array" ref="DJ270">MIN(_xlfn._xlws.FILTER(CT270:DG270,CT270:DG270&gt;BR270))</f>
        <v>#N/A</v>
      </c>
      <c r="DK270" s="2" t="e" cm="1" vm="277">
        <f t="array" ref="DK270">_FV(EC270,"Fechamento anterior",TRUE)</f>
        <v>#VALUE!</v>
      </c>
      <c r="DL270" s="28" t="e" vm="152">
        <f t="shared" si="302"/>
        <v>#VALUE!</v>
      </c>
      <c r="DM270" s="15" t="e" vm="152">
        <f t="shared" si="283"/>
        <v>#VALUE!</v>
      </c>
      <c r="DN270" s="15" t="e" vm="152">
        <f t="shared" si="284"/>
        <v>#VALUE!</v>
      </c>
      <c r="DO270" s="9"/>
      <c r="DP270" s="9"/>
      <c r="DQ270" s="9"/>
      <c r="DR270" s="89" t="e">
        <v>#N/A</v>
      </c>
      <c r="DS270" s="89" t="e">
        <v>#N/A</v>
      </c>
      <c r="DT270" s="89" t="e">
        <v>#N/A</v>
      </c>
      <c r="DU270" s="89" t="e">
        <v>#N/A</v>
      </c>
      <c r="DV270" s="89" t="e">
        <f t="shared" si="303"/>
        <v>#N/A</v>
      </c>
      <c r="DW270" s="72" t="e" vm="152">
        <f t="shared" si="304"/>
        <v>#VALUE!</v>
      </c>
      <c r="DX270" s="37"/>
      <c r="DY270" s="35" t="e" vm="152">
        <f t="shared" si="314"/>
        <v>#VALUE!</v>
      </c>
      <c r="DZ270" s="56"/>
      <c r="EA270" s="56"/>
      <c r="EC270" s="2" t="s">
        <v>266</v>
      </c>
      <c r="EE270" s="10" t="e" cm="1" vm="151">
        <f t="array" ref="EE270">_FV(EC270,"Ações em circulação",TRUE)</f>
        <v>#VALUE!</v>
      </c>
      <c r="EF270" s="18" t="e">
        <f>VLOOKUP(BM270,Fundamentus!A:U,5,FALSE)</f>
        <v>#N/A</v>
      </c>
      <c r="EG270" s="2" t="e" vm="152">
        <f t="shared" si="305"/>
        <v>#VALUE!</v>
      </c>
      <c r="EH270" s="17" t="e" vm="152">
        <v>#VALUE!</v>
      </c>
      <c r="EI270" s="17" t="e" vm="152">
        <f t="shared" si="306"/>
        <v>#VALUE!</v>
      </c>
      <c r="EK270" s="16" t="e" vm="152">
        <f t="shared" si="282"/>
        <v>#VALUE!</v>
      </c>
      <c r="EL270" s="32" t="e">
        <f>IF(VLOOKUP(BM270,Fundamentus!A:U,3,FALSE)&lt;15,"Bom",IF(VLOOKUP(BM270,Fundamentus!A:U,3,FALSE)&gt;15,"Ruim","n/a"))</f>
        <v>#N/A</v>
      </c>
      <c r="EM270" s="28" t="e">
        <f>IF(VLOOKUP(BM270,Fundamentus!A:U,4,FALSE)&lt;1,"Baixo",IF(VLOOKUP(BM270,Fundamentus!A:U,4,FALSE)&lt;1.5,"Moderado",IF(VLOOKUP(BM270,Fundamentus!A:U,4,FALSE)&gt;1.5,"Alto","n/a")))</f>
        <v>#N/A</v>
      </c>
      <c r="EN270" s="17" t="e">
        <f>IF(VLOOKUP(BM270,Fundamentus!A:U,8,FALSE)&lt;0,"Risco elevado",IF(VLOOKUP(BM270,Fundamentus!A:U,8,FALSE)&lt;1,"Saudável",IF(VLOOKUP(BM270,Fundamentus!A:U,8,FALSE)&lt;3,"Estável",IF(VLOOKUP(BM270,Fundamentus!A:U,8,FALSE)&gt;3,"Alerta","n/a"))))</f>
        <v>#N/A</v>
      </c>
      <c r="EO270" s="28" t="e">
        <f t="shared" si="307"/>
        <v>#N/A</v>
      </c>
      <c r="EP270" s="17" t="e">
        <f>IF(VLOOKUP(BM270,Fundamentus!A:U,12,FALSE)&lt;2,"Subvalorizada",IF(VLOOKUP(BM270,Fundamentus!A:U,12,FALSE)&lt;6,"Muita barata",IF(VLOOKUP(BM270,Fundamentus!A:U,12,FALSE)&lt;6,"Barata",IF(VLOOKUP(BM270,Fundamentus!A:U,12,FALSE)&lt;8,"Atrativa",IF(VLOOKUP(BM270,Fundamentus!A:U,12,FALSE)&gt;8,"Supervalorizada","n/a")))))</f>
        <v>#N/A</v>
      </c>
      <c r="ER270" s="17" t="e">
        <f>IF(VLOOKUP(BM270,Fundamentus!A:U,17,FALSE)&lt;0.1,"Fraco retorno",IF(VLOOKUP(BM270,Fundamentus!A:U,17,FALSE)&gt;0.1,"Bom retorno","n/a"))</f>
        <v>#N/A</v>
      </c>
      <c r="ES270" s="17" t="e">
        <f>IF(VLOOKUP(BM270,Fundamentus!A:U,16,FALSE)&lt;0.1,"Ineficiente",IF(VLOOKUP(BM270,Fundamentus!A:U,16,FALSE)&gt;0.1,"Eficiente","n/a"))</f>
        <v>#N/A</v>
      </c>
      <c r="ET270" s="33" t="e">
        <f>IF(VLOOKUP(BM270,Fundamentus!A:U,16,FALSE)&lt;0.1,"Oper. Ineficiente",IF(VLOOKUP(BM270,Fundamentus!A:U,16,FALSE)&gt;0.1,"Oper.Eficiente","n/a"))</f>
        <v>#N/A</v>
      </c>
      <c r="EU270" s="34" t="e">
        <f>VLOOKUP(BM270,Fundamentus!A:U,14,FALSE)</f>
        <v>#N/A</v>
      </c>
      <c r="EV270" s="17" t="e">
        <f>IF(VLOOKUP(BM270,Fundamentus!A:U,21,FALSE)&lt;0,"Negativo",IF(VLOOKUP(BM270,Fundamentus!A:U,21,FALSE)&lt;0.05,"Fraco",IF(VLOOKUP(BM270,Fundamentus!A:U,21,FALSE)&lt;0.1,"Bom",IF(VLOOKUP(BM270,Fundamentus!A:U,21,FALSE)&gt;0.1,"Muito bom","n/a"))))</f>
        <v>#N/A</v>
      </c>
      <c r="EX270" s="29" t="e">
        <f>IF(VLOOKUP(BM270,Fundamentus!A:U,15,FALSE)&gt;1,"Bom",IF(VLOOKUP(BM270,Fundamentus!A:U,15,FALSE)&lt;1,"Ruim","n/a"))</f>
        <v>#N/A</v>
      </c>
      <c r="EY270" s="17" t="e">
        <f>IF(VLOOKUP(BM270,Fundamentus!A:U,20,FALSE)&lt;0.5,"Baixa",IF(VLOOKUP(BM270,Fundamentus!A:U,20,FALSE)&lt;1,"Moderada",IF(VLOOKUP(BM270,Fundamentus!A:U,20,FALSE)&lt;2,"Alerta",IF(VLOOKUP(BM270,Fundamentus!A:U,20,FALSE)&gt;2,"Alta","n/a"))))</f>
        <v>#N/A</v>
      </c>
    </row>
    <row r="271" spans="1:155" s="2" customFormat="1" ht="11.25" x14ac:dyDescent="0.2">
      <c r="A271" s="4">
        <v>12.17</v>
      </c>
      <c r="B271" s="4">
        <v>11.6</v>
      </c>
      <c r="C271" s="4">
        <v>11.59</v>
      </c>
      <c r="D271" s="4">
        <v>11.7</v>
      </c>
      <c r="E271" s="4">
        <v>11.41</v>
      </c>
      <c r="F271" s="4">
        <v>11.21</v>
      </c>
      <c r="G271" s="4">
        <v>11.08</v>
      </c>
      <c r="H271" s="4">
        <v>11.19</v>
      </c>
      <c r="I271" s="4">
        <v>11.3</v>
      </c>
      <c r="J271" s="4">
        <v>11.48</v>
      </c>
      <c r="K271" s="4">
        <v>11.64</v>
      </c>
      <c r="L271" s="4">
        <v>11.29</v>
      </c>
      <c r="M271" s="4">
        <v>11.22</v>
      </c>
      <c r="N271" s="4">
        <v>11.48</v>
      </c>
      <c r="O271" s="4">
        <v>11.69</v>
      </c>
      <c r="P271" s="4">
        <v>11.55</v>
      </c>
      <c r="Q271" s="4">
        <v>11.84</v>
      </c>
      <c r="R271" s="4">
        <v>11.77</v>
      </c>
      <c r="S271" s="4">
        <v>11.96</v>
      </c>
      <c r="T271" s="4">
        <v>11.75</v>
      </c>
      <c r="U271" s="4">
        <v>11.47</v>
      </c>
      <c r="V271" s="4">
        <v>11.37</v>
      </c>
      <c r="W271" s="4">
        <v>11.41</v>
      </c>
      <c r="X271" s="4">
        <v>11.44</v>
      </c>
      <c r="Y271" s="4">
        <v>11.41</v>
      </c>
      <c r="Z271" s="4">
        <v>11.42</v>
      </c>
      <c r="AA271" s="4">
        <v>11.48</v>
      </c>
      <c r="AB271" s="4">
        <v>11.68</v>
      </c>
      <c r="AC271" s="4">
        <v>11.29</v>
      </c>
      <c r="AD271" s="4">
        <v>11.36</v>
      </c>
      <c r="AE271" s="4">
        <v>11.4</v>
      </c>
      <c r="AF271" s="4">
        <v>11.49</v>
      </c>
      <c r="AG271" s="4">
        <v>11.3</v>
      </c>
      <c r="AH271" s="4">
        <v>10.88</v>
      </c>
      <c r="AI271" s="4">
        <v>11.08</v>
      </c>
      <c r="AJ271" s="4">
        <v>10.7</v>
      </c>
      <c r="AK271" s="4">
        <v>10.83</v>
      </c>
      <c r="AL271" s="4">
        <v>10.9</v>
      </c>
      <c r="AM271" s="4">
        <v>10.72</v>
      </c>
      <c r="AN271" s="4">
        <v>11.1</v>
      </c>
      <c r="AO271" s="4">
        <v>10.99</v>
      </c>
      <c r="AP271" s="4">
        <v>11.04</v>
      </c>
      <c r="AQ271" s="4">
        <v>10.91</v>
      </c>
      <c r="AR271" s="4">
        <v>10.94</v>
      </c>
      <c r="AS271" s="4">
        <v>11.08</v>
      </c>
      <c r="AT271" s="4">
        <v>11.35</v>
      </c>
      <c r="AU271" s="4">
        <v>11.515000000000001</v>
      </c>
      <c r="AV271" s="4">
        <v>11.34</v>
      </c>
      <c r="AW271" s="4">
        <v>11.4</v>
      </c>
      <c r="AX271" s="4">
        <v>11.3</v>
      </c>
      <c r="AY271" s="12">
        <v>11.44</v>
      </c>
      <c r="AZ271" s="12">
        <v>12</v>
      </c>
      <c r="BA271" s="12">
        <v>11.95</v>
      </c>
      <c r="BB271" s="15">
        <v>11.94</v>
      </c>
      <c r="BC271" s="52">
        <v>11.74</v>
      </c>
      <c r="BD271" s="52">
        <v>11.72</v>
      </c>
      <c r="BE271" s="52">
        <v>11.74</v>
      </c>
      <c r="BF271" s="52">
        <v>11.48</v>
      </c>
      <c r="BG271" s="67">
        <v>11.34</v>
      </c>
      <c r="BH271" s="52">
        <v>11.41</v>
      </c>
      <c r="BI271" s="52">
        <v>11.44</v>
      </c>
      <c r="BJ271" s="52">
        <v>11.62</v>
      </c>
      <c r="BK271" s="52">
        <v>11.3</v>
      </c>
      <c r="BL271" s="52" cm="1">
        <f t="array" aca="1" ref="BL271" ca="1">_FV(EC271,"Preço")</f>
        <v>11.3</v>
      </c>
      <c r="BM271" s="69" t="s">
        <v>267</v>
      </c>
      <c r="BN271" s="36" cm="1">
        <f t="array" aca="1" ref="BN271" ca="1">_FV(EC271,"Média de volume",TRUE)</f>
        <v>1181520</v>
      </c>
      <c r="BO271" s="36">
        <v>69300</v>
      </c>
      <c r="BP271" s="36" cm="1">
        <f t="array" aca="1" ref="BP271" ca="1">_FV(EC271,"Volume")</f>
        <v>69300</v>
      </c>
      <c r="BQ271" s="24" cm="1">
        <f t="array" aca="1" ref="BQ271" ca="1">_FV(EC271,"Beta")</f>
        <v>0.70609999999999995</v>
      </c>
      <c r="BR271" s="71" cm="1">
        <f t="array" aca="1" ref="BR271" ca="1">_FV(EC271,"Variação (%)",TRUE)</f>
        <v>-5.2820000000000002E-3</v>
      </c>
      <c r="BT271" s="17" cm="1">
        <f t="array" aca="1" ref="BT271" ca="1">_FV(EC271,"Baixo")</f>
        <v>11.2</v>
      </c>
      <c r="BU271" s="17" cm="1">
        <f t="array" aca="1" ref="BU271" ca="1">_FV(EC271,"Alto")</f>
        <v>11.38</v>
      </c>
      <c r="BV271" s="24"/>
      <c r="BW271" s="63">
        <f ca="1">SQRT(22.5*(BL271/VLOOKUP(BM271,Fundamentus!A:U,3,FALSE))*(BL271/VLOOKUP(BM271,Fundamentus!A:U,4,FALSE)))</f>
        <v>16.012241983527627</v>
      </c>
      <c r="BY271" s="62">
        <f t="shared" ca="1" si="308"/>
        <v>0</v>
      </c>
      <c r="BZ271" s="8"/>
      <c r="CA271" s="61">
        <f t="shared" si="309"/>
        <v>10.7</v>
      </c>
      <c r="CB271" s="61">
        <f t="shared" si="310"/>
        <v>12.17</v>
      </c>
      <c r="CC271" s="61">
        <f t="shared" si="311"/>
        <v>11.406904761904768</v>
      </c>
      <c r="CD271" s="14"/>
      <c r="CE271" s="35">
        <f t="shared" si="285"/>
        <v>11.228306453360956</v>
      </c>
      <c r="CF271" s="15">
        <f t="shared" si="312"/>
        <v>11.434999999999988</v>
      </c>
      <c r="CG271" s="35">
        <f t="shared" si="286"/>
        <v>11.64169354663902</v>
      </c>
      <c r="CI271" s="14"/>
      <c r="CJ271" s="17">
        <f t="shared" si="287"/>
        <v>9.3533333333333282</v>
      </c>
      <c r="CK271" s="17">
        <f t="shared" si="288"/>
        <v>10.026666666666664</v>
      </c>
      <c r="CL271" s="17">
        <f t="shared" si="289"/>
        <v>10.823333333333329</v>
      </c>
      <c r="CM271" s="38">
        <f t="shared" si="313"/>
        <v>11.496666666666664</v>
      </c>
      <c r="CN271" s="17">
        <f t="shared" si="290"/>
        <v>12.293333333333329</v>
      </c>
      <c r="CO271" s="17">
        <f t="shared" si="291"/>
        <v>12.966666666666665</v>
      </c>
      <c r="CP271" s="17">
        <f t="shared" si="292"/>
        <v>13.76333333333333</v>
      </c>
      <c r="CQ271" s="2" cm="1">
        <f t="array" aca="1" ref="CQ271" ca="1">MAX(_xlfn._xlws.FILTER(CJ271:CP271,CJ271:CP271&lt;BL271))</f>
        <v>10.823333333333329</v>
      </c>
      <c r="CR271" s="2" cm="1">
        <f t="array" aca="1" ref="CR271" ca="1">MIN(_xlfn._xlws.FILTER($CJ271:$CP271,$CJ271:$CP271&gt;BL271))</f>
        <v>11.496666666666664</v>
      </c>
      <c r="CS271" s="16">
        <f t="shared" ca="1" si="293"/>
        <v>6.2211271943332536E-2</v>
      </c>
      <c r="CT271" s="20">
        <f t="shared" ca="1" si="294"/>
        <v>-3.1105635971666268E-2</v>
      </c>
      <c r="CU271" s="20">
        <f t="shared" ca="1" si="295"/>
        <v>-2.0737090647777512E-2</v>
      </c>
      <c r="CV271" s="20">
        <f t="shared" ca="1" si="296"/>
        <v>-1.2442254388666507E-2</v>
      </c>
      <c r="CW271" s="20">
        <f t="shared" ca="1" si="297"/>
        <v>-6.9123635492591706E-3</v>
      </c>
      <c r="CX271" s="20">
        <f t="shared" ca="1" si="315"/>
        <v>-3.6594865849019138E-3</v>
      </c>
      <c r="CY271" s="20">
        <f t="shared" ca="1" si="316"/>
        <v>-1.8851900588888646E-3</v>
      </c>
      <c r="CZ271" s="20">
        <f t="shared" ca="1" si="317"/>
        <v>-9.570964914358852E-4</v>
      </c>
      <c r="DA271" s="21">
        <f t="shared" ca="1" si="318"/>
        <v>9.570964914358852E-4</v>
      </c>
      <c r="DB271" s="21">
        <f t="shared" ca="1" si="319"/>
        <v>1.8851900588888646E-3</v>
      </c>
      <c r="DC271" s="21">
        <f t="shared" ca="1" si="320"/>
        <v>3.6594865849019138E-3</v>
      </c>
      <c r="DD271" s="21">
        <f t="shared" ca="1" si="298"/>
        <v>6.9123635492591706E-3</v>
      </c>
      <c r="DE271" s="21">
        <f t="shared" ca="1" si="299"/>
        <v>1.2442254388666507E-2</v>
      </c>
      <c r="DF271" s="21">
        <f t="shared" ca="1" si="300"/>
        <v>2.0737090647777512E-2</v>
      </c>
      <c r="DG271" s="21">
        <f t="shared" ca="1" si="301"/>
        <v>3.1105635971666268E-2</v>
      </c>
      <c r="DI271" s="16" cm="1">
        <f t="array" aca="1" ref="DI271" ca="1">MAX(_xlfn._xlws.FILTER(CT271:DG271,CT271:DG271&lt;BR271))</f>
        <v>-6.9123635492591706E-3</v>
      </c>
      <c r="DJ271" s="16" cm="1">
        <f t="array" aca="1" ref="DJ271" ca="1">MIN(_xlfn._xlws.FILTER(CT271:DG271,CT271:DG271&gt;BR271))</f>
        <v>-3.6594865849019138E-3</v>
      </c>
      <c r="DK271" s="2" cm="1">
        <f t="array" aca="1" ref="DK271" ca="1">_FV(EC271,"Fechamento anterior",TRUE)</f>
        <v>11.36</v>
      </c>
      <c r="DL271" s="28">
        <f t="shared" ca="1" si="302"/>
        <v>0.50130190175711975</v>
      </c>
      <c r="DM271" s="15">
        <f t="shared" ca="1" si="283"/>
        <v>11.281475550080415</v>
      </c>
      <c r="DN271" s="15">
        <f t="shared" ca="1" si="284"/>
        <v>11.318428232395513</v>
      </c>
      <c r="DO271" s="9"/>
      <c r="DP271" s="9"/>
      <c r="DQ271" s="9"/>
      <c r="DR271" s="89">
        <v>2.289626008282369E-3</v>
      </c>
      <c r="DS271" s="89">
        <v>3.7687695991381141E-3</v>
      </c>
      <c r="DT271" s="89">
        <v>1.9763407616664275E-3</v>
      </c>
      <c r="DU271" s="89">
        <v>3.2528769643572568E-3</v>
      </c>
      <c r="DV271" s="89">
        <f t="shared" ca="1" si="303"/>
        <v>3.2528769643572568E-3</v>
      </c>
      <c r="DW271" s="72">
        <f t="shared" ca="1" si="304"/>
        <v>-0.65314085608947492</v>
      </c>
      <c r="DX271" s="37"/>
      <c r="DY271" s="35">
        <f t="shared" si="314"/>
        <v>0.10334677331951629</v>
      </c>
      <c r="DZ271" s="56"/>
      <c r="EA271" s="56"/>
      <c r="EC271" s="2" t="e" vm="278">
        <v>#VALUE!</v>
      </c>
      <c r="EE271" s="10" cm="1">
        <f t="array" aca="1" ref="EE271" ca="1">_FV(EC271,"Ações em circulação",TRUE)</f>
        <v>344498900</v>
      </c>
      <c r="EF271" s="18">
        <f>VLOOKUP(BM271,Fundamentus!A:U,5,FALSE)</f>
        <v>2.952</v>
      </c>
      <c r="EG271" s="2">
        <f t="shared" ca="1" si="305"/>
        <v>1318711913.9566398</v>
      </c>
      <c r="EH271" s="17">
        <v>559793207.47459352</v>
      </c>
      <c r="EI271" s="17">
        <f t="shared" ca="1" si="306"/>
        <v>559793207.47459352</v>
      </c>
      <c r="EK271" s="16">
        <f t="shared" ca="1" si="282"/>
        <v>0</v>
      </c>
      <c r="EL271" s="32" t="str">
        <f>IF(VLOOKUP(BM271,Fundamentus!A:U,3,FALSE)&lt;15,"Bom",IF(VLOOKUP(BM271,Fundamentus!A:U,3,FALSE)&gt;15,"Ruim","n/a"))</f>
        <v>Bom</v>
      </c>
      <c r="EM271" s="28" t="str">
        <f>IF(VLOOKUP(BM271,Fundamentus!A:U,4,FALSE)&lt;1,"Baixo",IF(VLOOKUP(BM271,Fundamentus!A:U,4,FALSE)&lt;1.5,"Moderado",IF(VLOOKUP(BM271,Fundamentus!A:U,4,FALSE)&gt;1.5,"Alto","n/a")))</f>
        <v>Alto</v>
      </c>
      <c r="EN271" s="17" t="str">
        <f>IF(VLOOKUP(BM271,Fundamentus!A:U,8,FALSE)&lt;0,"Risco elevado",IF(VLOOKUP(BM271,Fundamentus!A:U,8,FALSE)&lt;1,"Saudável",IF(VLOOKUP(BM271,Fundamentus!A:U,8,FALSE)&lt;3,"Estável",IF(VLOOKUP(BM271,Fundamentus!A:U,8,FALSE)&gt;3,"Alerta","n/a"))))</f>
        <v>Alerta</v>
      </c>
      <c r="EO271" s="28" t="str">
        <f t="shared" si="307"/>
        <v>Bom</v>
      </c>
      <c r="EP271" s="17" t="str">
        <f>IF(VLOOKUP(BM271,Fundamentus!A:U,12,FALSE)&lt;2,"Subvalorizada",IF(VLOOKUP(BM271,Fundamentus!A:U,12,FALSE)&lt;6,"Muita barata",IF(VLOOKUP(BM271,Fundamentus!A:U,12,FALSE)&lt;6,"Barata",IF(VLOOKUP(BM271,Fundamentus!A:U,12,FALSE)&lt;8,"Atrativa",IF(VLOOKUP(BM271,Fundamentus!A:U,12,FALSE)&gt;8,"Supervalorizada","n/a")))))</f>
        <v>Supervalorizada</v>
      </c>
      <c r="ER271" s="17" t="str">
        <f>IF(VLOOKUP(BM271,Fundamentus!A:U,17,FALSE)&lt;0.1,"Fraco retorno",IF(VLOOKUP(BM271,Fundamentus!A:U,17,FALSE)&gt;0.1,"Bom retorno","n/a"))</f>
        <v>Bom retorno</v>
      </c>
      <c r="ES271" s="17" t="str">
        <f>IF(VLOOKUP(BM271,Fundamentus!A:U,16,FALSE)&lt;0.1,"Ineficiente",IF(VLOOKUP(BM271,Fundamentus!A:U,16,FALSE)&gt;0.1,"Eficiente","n/a"))</f>
        <v>Eficiente</v>
      </c>
      <c r="ET271" s="33" t="str">
        <f>IF(VLOOKUP(BM271,Fundamentus!A:U,16,FALSE)&lt;0.1,"Oper. Ineficiente",IF(VLOOKUP(BM271,Fundamentus!A:U,16,FALSE)&gt;0.1,"Oper.Eficiente","n/a"))</f>
        <v>Oper.Eficiente</v>
      </c>
      <c r="EU271" s="34">
        <f>VLOOKUP(BM271,Fundamentus!A:U,14,FALSE)</f>
        <v>0.42449999999999999</v>
      </c>
      <c r="EV271" s="17" t="str">
        <f>IF(VLOOKUP(BM271,Fundamentus!A:U,21,FALSE)&lt;0,"Negativo",IF(VLOOKUP(BM271,Fundamentus!A:U,21,FALSE)&lt;0.05,"Fraco",IF(VLOOKUP(BM271,Fundamentus!A:U,21,FALSE)&lt;0.1,"Bom",IF(VLOOKUP(BM271,Fundamentus!A:U,21,FALSE)&gt;0.1,"Muito bom","n/a"))))</f>
        <v>Fraco</v>
      </c>
      <c r="EX271" s="29" t="str">
        <f>IF(VLOOKUP(BM271,Fundamentus!A:U,15,FALSE)&gt;1,"Bom",IF(VLOOKUP(BM271,Fundamentus!A:U,15,FALSE)&lt;1,"Ruim","n/a"))</f>
        <v>Bom</v>
      </c>
      <c r="EY271" s="17" t="str">
        <f>IF(VLOOKUP(BM271,Fundamentus!A:U,20,FALSE)&lt;0.5,"Baixa",IF(VLOOKUP(BM271,Fundamentus!A:U,20,FALSE)&lt;1,"Moderada",IF(VLOOKUP(BM271,Fundamentus!A:U,20,FALSE)&lt;2,"Alerta",IF(VLOOKUP(BM271,Fundamentus!A:U,20,FALSE)&gt;2,"Alta","n/a"))))</f>
        <v>Alerta</v>
      </c>
    </row>
    <row r="273" spans="1:142" ht="11.25" customHeight="1" x14ac:dyDescent="0.25">
      <c r="EK273" s="16">
        <v>5.1817927712916045E-3</v>
      </c>
    </row>
    <row r="274" spans="1:142" ht="11.25" customHeight="1" x14ac:dyDescent="0.25">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8"/>
      <c r="AJ274" s="58"/>
      <c r="AK274" s="58"/>
      <c r="AL274" s="58"/>
      <c r="AM274" s="58"/>
      <c r="AN274" s="58"/>
      <c r="AO274" s="58"/>
      <c r="AP274" s="58"/>
      <c r="AQ274" s="58"/>
      <c r="AR274" s="58"/>
      <c r="AS274" s="58"/>
      <c r="AT274" s="57"/>
      <c r="AU274" s="57"/>
      <c r="AV274" s="57"/>
      <c r="AW274" s="57"/>
      <c r="AX274" s="57"/>
      <c r="AY274" s="57"/>
      <c r="AZ274" s="57"/>
      <c r="BA274" s="57"/>
      <c r="BB274" s="57"/>
      <c r="BC274" s="57"/>
      <c r="BD274" s="57"/>
      <c r="BE274" s="57"/>
      <c r="BF274" s="57"/>
      <c r="BG274" s="57"/>
      <c r="BH274" s="57"/>
      <c r="BI274" s="57"/>
      <c r="BJ274" s="57"/>
      <c r="BK274" s="57"/>
      <c r="BR274" s="1"/>
      <c r="CU274" s="1" t="s">
        <v>275</v>
      </c>
      <c r="CV274" s="1" t="s">
        <v>269</v>
      </c>
      <c r="CW274" s="1" t="s">
        <v>271</v>
      </c>
      <c r="CX274" s="1" t="s">
        <v>270</v>
      </c>
      <c r="CY274" s="1" t="s">
        <v>279</v>
      </c>
      <c r="CZ274" s="1" t="s">
        <v>280</v>
      </c>
      <c r="DA274" s="1" t="s">
        <v>281</v>
      </c>
      <c r="DB274" s="1" t="s">
        <v>283</v>
      </c>
      <c r="DV274" s="84"/>
      <c r="EK274" s="16">
        <v>1.3079483012150783E-2</v>
      </c>
    </row>
    <row r="275" spans="1:142" x14ac:dyDescent="0.25">
      <c r="BD275" s="37"/>
      <c r="BR275" s="1"/>
      <c r="CL275" s="16"/>
      <c r="EK275" s="16">
        <v>7.6645501222152301E-3</v>
      </c>
    </row>
    <row r="276" spans="1:142" x14ac:dyDescent="0.25">
      <c r="BM276" s="78"/>
      <c r="BR276" s="1"/>
      <c r="BU276" s="80"/>
      <c r="BW276" s="59"/>
      <c r="CK276" s="65"/>
      <c r="EK276" s="16">
        <v>6.1350601295095952E-3</v>
      </c>
    </row>
    <row r="277" spans="1:142" x14ac:dyDescent="0.25">
      <c r="BR277" s="1"/>
      <c r="CJ277" s="19"/>
      <c r="CK277" s="19"/>
    </row>
    <row r="278" spans="1:142" x14ac:dyDescent="0.25">
      <c r="BR278" s="1"/>
      <c r="EL278" s="7"/>
    </row>
    <row r="279" spans="1:142" x14ac:dyDescent="0.25">
      <c r="BR279" s="1"/>
      <c r="BU279" s="77"/>
    </row>
  </sheetData>
  <autoFilter ref="A5:FK271" xr:uid="{00000000-0001-0000-0000-000000000000}"/>
  <sortState xmlns:xlrd2="http://schemas.microsoft.com/office/spreadsheetml/2017/richdata2" ref="A19:FA186">
    <sortCondition descending="1" ref="BY19:BY186"/>
  </sortState>
  <conditionalFormatting sqref="AY6:AZ271">
    <cfRule type="expression" dxfId="53" priority="177">
      <formula>AY6&gt;AX6</formula>
    </cfRule>
  </conditionalFormatting>
  <conditionalFormatting sqref="BA6:BK271">
    <cfRule type="expression" dxfId="52" priority="111">
      <formula>BA6=AZ6</formula>
    </cfRule>
    <cfRule type="expression" dxfId="51" priority="112">
      <formula>BA6&gt;=AZ6</formula>
    </cfRule>
  </conditionalFormatting>
  <conditionalFormatting sqref="BD275">
    <cfRule type="expression" dxfId="50" priority="31">
      <formula>BD275=BC275</formula>
    </cfRule>
    <cfRule type="expression" dxfId="49" priority="32">
      <formula>BD275&gt;=BC275</formula>
    </cfRule>
  </conditionalFormatting>
  <conditionalFormatting sqref="BL6:BL271">
    <cfRule type="expression" dxfId="48" priority="179">
      <formula>BL6&gt;=BJ6</formula>
    </cfRule>
  </conditionalFormatting>
  <conditionalFormatting sqref="BR2">
    <cfRule type="cellIs" dxfId="47" priority="1" operator="greaterThan">
      <formula>0</formula>
    </cfRule>
  </conditionalFormatting>
  <conditionalFormatting sqref="BR4">
    <cfRule type="cellIs" dxfId="46" priority="3" operator="greaterThan">
      <formula>0</formula>
    </cfRule>
  </conditionalFormatting>
  <conditionalFormatting sqref="BR6:BR271">
    <cfRule type="cellIs" dxfId="45" priority="19" operator="greaterThan">
      <formula>0</formula>
    </cfRule>
  </conditionalFormatting>
  <conditionalFormatting sqref="BY3 BY6:BY1048576">
    <cfRule type="cellIs" dxfId="44" priority="110" operator="between">
      <formula>0</formula>
      <formula>0.009</formula>
    </cfRule>
  </conditionalFormatting>
  <conditionalFormatting sqref="BY3 BY6:BZ1048576 BL272:BL1048576 BW272:BW1048576">
    <cfRule type="cellIs" dxfId="43" priority="114" operator="greaterThan">
      <formula>0.009</formula>
    </cfRule>
  </conditionalFormatting>
  <conditionalFormatting sqref="CE3">
    <cfRule type="cellIs" dxfId="42" priority="17" operator="between">
      <formula>0</formula>
      <formula>0.009</formula>
    </cfRule>
    <cfRule type="cellIs" dxfId="41" priority="18" operator="greaterThan">
      <formula>0.009</formula>
    </cfRule>
  </conditionalFormatting>
  <conditionalFormatting sqref="DL6:DL271">
    <cfRule type="cellIs" dxfId="40" priority="121" operator="lessThan">
      <formula>0.1</formula>
    </cfRule>
    <cfRule type="cellIs" dxfId="39" priority="120" operator="greaterThan">
      <formula>0.9</formula>
    </cfRule>
  </conditionalFormatting>
  <conditionalFormatting sqref="DR6:DV271">
    <cfRule type="cellIs" dxfId="38" priority="2" operator="lessThan">
      <formula>0.01</formula>
    </cfRule>
  </conditionalFormatting>
  <conditionalFormatting sqref="EL6:EL271">
    <cfRule type="containsText" dxfId="37" priority="69" operator="containsText" text="Bom">
      <formula>NOT(ISERROR(SEARCH("Bom",EL6)))</formula>
    </cfRule>
  </conditionalFormatting>
  <conditionalFormatting sqref="EM6:EN271">
    <cfRule type="containsText" dxfId="36" priority="66" operator="containsText" text="Baixo">
      <formula>NOT(ISERROR(SEARCH("Baixo",EM6)))</formula>
    </cfRule>
    <cfRule type="containsText" dxfId="35" priority="67" operator="containsText" text="Moderado">
      <formula>NOT(ISERROR(SEARCH("Moderado",EM6)))</formula>
    </cfRule>
    <cfRule type="containsText" dxfId="34" priority="68" operator="containsText" text="Alto">
      <formula>NOT(ISERROR(SEARCH("Alto",EM6)))</formula>
    </cfRule>
  </conditionalFormatting>
  <conditionalFormatting sqref="EN6:EN271">
    <cfRule type="containsText" dxfId="33" priority="52" operator="containsText" text="Risco elevado">
      <formula>NOT(ISERROR(SEARCH("Risco elevado",EN6)))</formula>
    </cfRule>
    <cfRule type="containsText" dxfId="32" priority="53" operator="containsText" text="Estável">
      <formula>NOT(ISERROR(SEARCH("Estável",EN6)))</formula>
    </cfRule>
    <cfRule type="containsText" dxfId="31" priority="54" operator="containsText" text="Alerta">
      <formula>NOT(ISERROR(SEARCH("Alerta",EN6)))</formula>
    </cfRule>
    <cfRule type="containsText" dxfId="30" priority="55" operator="containsText" text="Saudável">
      <formula>NOT(ISERROR(SEARCH("Saudável",EN6)))</formula>
    </cfRule>
  </conditionalFormatting>
  <conditionalFormatting sqref="EO6:EO271">
    <cfRule type="containsText" dxfId="29" priority="64" operator="containsText" text="Ruim">
      <formula>NOT(ISERROR(SEARCH("Ruim",EO6)))</formula>
    </cfRule>
    <cfRule type="containsText" dxfId="28" priority="65" operator="containsText" text="Bom">
      <formula>NOT(ISERROR(SEARCH("Bom",EO6)))</formula>
    </cfRule>
  </conditionalFormatting>
  <conditionalFormatting sqref="EP6:EV271">
    <cfRule type="containsText" dxfId="27" priority="80" operator="containsText" text="Atrativa">
      <formula>NOT(ISERROR(SEARCH("Atrativa",EP6)))</formula>
    </cfRule>
    <cfRule type="containsText" dxfId="26" priority="81" operator="containsText" text="Barata">
      <formula>NOT(ISERROR(SEARCH("Barata",EP6)))</formula>
    </cfRule>
    <cfRule type="containsText" dxfId="25" priority="82" operator="containsText" text="Muito barata">
      <formula>NOT(ISERROR(SEARCH("Muito barata",EP6)))</formula>
    </cfRule>
    <cfRule type="containsText" dxfId="24" priority="83" operator="containsText" text="Subvalorizada">
      <formula>NOT(ISERROR(SEARCH("Subvalorizada",EP6)))</formula>
    </cfRule>
    <cfRule type="containsText" dxfId="23" priority="79" operator="containsText" text="Supervalorizada">
      <formula>NOT(ISERROR(SEARCH("Supervalorizada",EP6)))</formula>
    </cfRule>
  </conditionalFormatting>
  <conditionalFormatting sqref="ER6:ER271">
    <cfRule type="containsText" dxfId="22" priority="63" operator="containsText" text="Bom retorno">
      <formula>NOT(ISERROR(SEARCH("Bom retorno",ER6)))</formula>
    </cfRule>
    <cfRule type="containsText" dxfId="21" priority="62" operator="containsText" text="Fraco retorno">
      <formula>NOT(ISERROR(SEARCH("Fraco retorno",ER6)))</formula>
    </cfRule>
  </conditionalFormatting>
  <conditionalFormatting sqref="ES6:ES271">
    <cfRule type="containsText" dxfId="20" priority="61" operator="containsText" text="Eficiente">
      <formula>NOT(ISERROR(SEARCH("Eficiente",ES6)))</formula>
    </cfRule>
    <cfRule type="containsText" dxfId="19" priority="60" operator="containsText" text="Ineficiente">
      <formula>NOT(ISERROR(SEARCH("Ineficiente",ES6)))</formula>
    </cfRule>
  </conditionalFormatting>
  <conditionalFormatting sqref="ET6:ET271">
    <cfRule type="containsText" dxfId="18" priority="58" operator="containsText" text="Oper.Ineficiente">
      <formula>NOT(ISERROR(SEARCH("Oper.Ineficiente",ET6)))</formula>
    </cfRule>
    <cfRule type="containsText" dxfId="17" priority="59" operator="containsText" text="Oper.Eficiente">
      <formula>NOT(ISERROR(SEARCH("Oper.Eficiente",ET6)))</formula>
    </cfRule>
  </conditionalFormatting>
  <conditionalFormatting sqref="EU6:EU271">
    <cfRule type="cellIs" dxfId="16" priority="57" operator="greaterThan">
      <formula>0</formula>
    </cfRule>
  </conditionalFormatting>
  <conditionalFormatting sqref="EU9">
    <cfRule type="containsText" dxfId="15" priority="56" operator="containsText" text="Risco elevado">
      <formula>NOT(ISERROR(SEARCH("Risco elevado",EU9)))</formula>
    </cfRule>
  </conditionalFormatting>
  <conditionalFormatting sqref="EV6:EV271">
    <cfRule type="containsText" dxfId="14" priority="74" operator="containsText" text="Supervalorizada">
      <formula>NOT(ISERROR(SEARCH("Supervalorizada",EV6)))</formula>
    </cfRule>
    <cfRule type="containsText" dxfId="13" priority="75" operator="containsText" text="Atrativa">
      <formula>NOT(ISERROR(SEARCH("Atrativa",EV6)))</formula>
    </cfRule>
    <cfRule type="containsText" dxfId="12" priority="76" operator="containsText" text="Barata">
      <formula>NOT(ISERROR(SEARCH("Barata",EV6)))</formula>
    </cfRule>
    <cfRule type="containsText" dxfId="11" priority="77" operator="containsText" text="Muito barata">
      <formula>NOT(ISERROR(SEARCH("Muito barata",EV6)))</formula>
    </cfRule>
    <cfRule type="containsText" dxfId="10" priority="78" operator="containsText" text="Subvalorizada">
      <formula>NOT(ISERROR(SEARCH("Subvalorizada",EV6)))</formula>
    </cfRule>
    <cfRule type="containsText" dxfId="9" priority="70" operator="containsText" text="Muito Bom">
      <formula>NOT(ISERROR(SEARCH("Muito Bom",EV6)))</formula>
    </cfRule>
    <cfRule type="containsText" dxfId="8" priority="73" operator="containsText" text="Negativo">
      <formula>NOT(ISERROR(SEARCH("Negativo",EV6)))</formula>
    </cfRule>
    <cfRule type="containsText" dxfId="7" priority="72" operator="containsText" text="Fraco">
      <formula>NOT(ISERROR(SEARCH("Fraco",EV6)))</formula>
    </cfRule>
    <cfRule type="containsText" dxfId="6" priority="71" operator="containsText" text="Bom">
      <formula>NOT(ISERROR(SEARCH("Bom",EV6)))</formula>
    </cfRule>
  </conditionalFormatting>
  <conditionalFormatting sqref="EX6:EX271">
    <cfRule type="containsText" dxfId="5" priority="88" operator="containsText" text="Ruim">
      <formula>NOT(ISERROR(SEARCH("Ruim",EX6)))</formula>
    </cfRule>
    <cfRule type="containsText" dxfId="4" priority="89" operator="containsText" text="Bom">
      <formula>NOT(ISERROR(SEARCH("Bom",EX6)))</formula>
    </cfRule>
  </conditionalFormatting>
  <conditionalFormatting sqref="EY6:EY271">
    <cfRule type="containsText" dxfId="3" priority="84" operator="containsText" text="Baixa">
      <formula>NOT(ISERROR(SEARCH("Baixa",EY6)))</formula>
    </cfRule>
    <cfRule type="containsText" dxfId="2" priority="86" operator="containsText" text="Alta">
      <formula>NOT(ISERROR(SEARCH("Alta",EY6)))</formula>
    </cfRule>
    <cfRule type="containsText" dxfId="1" priority="87" operator="containsText" text="Alerta">
      <formula>NOT(ISERROR(SEARCH("Alerta",EY6)))</formula>
    </cfRule>
    <cfRule type="containsText" dxfId="0" priority="85" operator="containsText" text="Moderada">
      <formula>NOT(ISERROR(SEARCH("Moderada",EY6)))</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E73B-9077-4527-BA68-3A59FB51CD5E}">
  <dimension ref="A1:F267"/>
  <sheetViews>
    <sheetView zoomScale="110" zoomScaleNormal="110" workbookViewId="0">
      <selection activeCell="I6" sqref="I6"/>
    </sheetView>
  </sheetViews>
  <sheetFormatPr defaultRowHeight="15" x14ac:dyDescent="0.25"/>
  <cols>
    <col min="2" max="3" width="10.85546875" bestFit="1" customWidth="1"/>
    <col min="4" max="5" width="12.5703125" bestFit="1" customWidth="1"/>
    <col min="6" max="6" width="10.85546875" bestFit="1" customWidth="1"/>
  </cols>
  <sheetData>
    <row r="1" spans="1:6" x14ac:dyDescent="0.25">
      <c r="A1" t="s">
        <v>477</v>
      </c>
      <c r="B1" s="79">
        <v>45822</v>
      </c>
      <c r="C1" s="79">
        <v>45829</v>
      </c>
      <c r="D1" s="79">
        <v>45836</v>
      </c>
      <c r="E1" s="79">
        <v>45843</v>
      </c>
      <c r="F1" s="79">
        <v>45850</v>
      </c>
    </row>
    <row r="2" spans="1:6" x14ac:dyDescent="0.25">
      <c r="A2" s="13" t="str">
        <f>Bovespa!BM6</f>
        <v>EQPA7</v>
      </c>
      <c r="B2" s="13">
        <v>8.0500000000000007</v>
      </c>
      <c r="C2" s="13">
        <v>8.0500000000000007</v>
      </c>
      <c r="D2" s="13">
        <v>8.0500000000000007</v>
      </c>
      <c r="E2" s="13">
        <v>8.0500000000000007</v>
      </c>
      <c r="F2" s="13">
        <v>8.0500000000000007</v>
      </c>
    </row>
    <row r="3" spans="1:6" x14ac:dyDescent="0.25">
      <c r="A3" s="13" t="str">
        <f>Bovespa!BM7</f>
        <v>CGRA4</v>
      </c>
      <c r="B3" s="13">
        <v>29.05</v>
      </c>
      <c r="C3" s="13">
        <v>28.76</v>
      </c>
      <c r="D3" s="13">
        <v>28.38</v>
      </c>
      <c r="E3" s="13">
        <v>29.05</v>
      </c>
      <c r="F3" s="13">
        <v>28.7</v>
      </c>
    </row>
    <row r="4" spans="1:6" x14ac:dyDescent="0.25">
      <c r="A4" s="13" t="str">
        <f>Bovespa!BM8</f>
        <v>ISAE4</v>
      </c>
      <c r="B4" s="13">
        <v>23.12</v>
      </c>
      <c r="C4" s="13">
        <v>23.03</v>
      </c>
      <c r="D4" s="13">
        <v>22.79</v>
      </c>
      <c r="E4" s="13">
        <v>23.31</v>
      </c>
      <c r="F4" s="13">
        <v>22.8</v>
      </c>
    </row>
    <row r="5" spans="1:6" x14ac:dyDescent="0.25">
      <c r="A5" s="13" t="str">
        <f>Bovespa!BM9</f>
        <v>BEES3</v>
      </c>
      <c r="B5" s="13">
        <v>8.58</v>
      </c>
      <c r="C5" s="13">
        <v>8.42</v>
      </c>
      <c r="D5" s="13">
        <v>8.49</v>
      </c>
      <c r="E5" s="13">
        <v>8.6300000000000008</v>
      </c>
      <c r="F5" s="13">
        <v>8.5</v>
      </c>
    </row>
    <row r="6" spans="1:6" x14ac:dyDescent="0.25">
      <c r="A6" s="13" t="str">
        <f>Bovespa!BM10</f>
        <v>ABEV3</v>
      </c>
      <c r="B6" s="13">
        <v>13.64</v>
      </c>
      <c r="C6" s="13">
        <v>13.53</v>
      </c>
      <c r="D6" s="13">
        <v>13.15</v>
      </c>
      <c r="E6" s="13">
        <v>13.52</v>
      </c>
      <c r="F6" s="13">
        <v>13.3</v>
      </c>
    </row>
    <row r="7" spans="1:6" x14ac:dyDescent="0.25">
      <c r="A7" s="13" t="str">
        <f>Bovespa!BM11</f>
        <v>RPMG3</v>
      </c>
      <c r="B7" s="13">
        <v>2.88</v>
      </c>
      <c r="C7" s="13">
        <v>2.91</v>
      </c>
      <c r="D7" s="13">
        <v>2.9</v>
      </c>
      <c r="E7" s="13">
        <v>2.96</v>
      </c>
      <c r="F7" s="13">
        <v>2.9</v>
      </c>
    </row>
    <row r="8" spans="1:6" x14ac:dyDescent="0.25">
      <c r="A8" s="13" t="str">
        <f>Bovespa!BM12</f>
        <v>DMVF3</v>
      </c>
      <c r="B8" s="13">
        <v>5.07</v>
      </c>
      <c r="C8" s="13">
        <v>4.9400000000000004</v>
      </c>
      <c r="D8" s="13">
        <v>4.99</v>
      </c>
      <c r="E8" s="13">
        <v>4.9400000000000004</v>
      </c>
      <c r="F8" s="13">
        <v>4.74</v>
      </c>
    </row>
    <row r="9" spans="1:6" x14ac:dyDescent="0.25">
      <c r="A9" s="13" t="str">
        <f>Bovespa!BM13</f>
        <v>SLCE3</v>
      </c>
      <c r="B9" s="13">
        <v>18.489999999999998</v>
      </c>
      <c r="C9" s="13">
        <v>18.45</v>
      </c>
      <c r="D9" s="13">
        <v>17.91</v>
      </c>
      <c r="E9" s="13">
        <v>18.100000000000001</v>
      </c>
      <c r="F9" s="13">
        <v>18.2</v>
      </c>
    </row>
    <row r="10" spans="1:6" x14ac:dyDescent="0.25">
      <c r="A10" s="13" t="str">
        <f>Bovespa!BM14</f>
        <v>OPCT3</v>
      </c>
      <c r="B10" s="13">
        <v>6.3</v>
      </c>
      <c r="C10" s="13">
        <v>6.42</v>
      </c>
      <c r="D10" s="13">
        <v>6.85</v>
      </c>
      <c r="E10" s="13">
        <v>7</v>
      </c>
      <c r="F10" s="13">
        <v>6.82</v>
      </c>
    </row>
    <row r="11" spans="1:6" x14ac:dyDescent="0.25">
      <c r="A11" s="13" t="str">
        <f>Bovespa!BM15</f>
        <v>SANB4</v>
      </c>
      <c r="B11" s="13">
        <v>15.5</v>
      </c>
      <c r="C11" s="13">
        <v>15.37</v>
      </c>
      <c r="D11" s="13">
        <v>15.34</v>
      </c>
      <c r="E11" s="13">
        <v>15.37</v>
      </c>
      <c r="F11" s="13">
        <v>14.44</v>
      </c>
    </row>
    <row r="12" spans="1:6" x14ac:dyDescent="0.25">
      <c r="A12" s="13" t="str">
        <f>Bovespa!BM16</f>
        <v>WHRL4</v>
      </c>
      <c r="B12" s="13">
        <v>4.95</v>
      </c>
      <c r="C12" s="13">
        <v>4.75</v>
      </c>
      <c r="D12" s="13">
        <v>5.05</v>
      </c>
      <c r="E12" s="13">
        <v>4.5999999999999996</v>
      </c>
      <c r="F12" s="13">
        <v>4.2</v>
      </c>
    </row>
    <row r="13" spans="1:6" x14ac:dyDescent="0.25">
      <c r="A13" s="13" t="str">
        <f>Bovespa!BM17</f>
        <v>TELB4</v>
      </c>
      <c r="B13" s="13">
        <v>8.64</v>
      </c>
      <c r="C13" s="13">
        <v>8.74</v>
      </c>
      <c r="D13" s="13">
        <v>8.8000000000000007</v>
      </c>
      <c r="E13" s="13">
        <v>8.27</v>
      </c>
      <c r="F13" s="13">
        <v>7.96</v>
      </c>
    </row>
    <row r="14" spans="1:6" x14ac:dyDescent="0.25">
      <c r="A14" s="13" t="str">
        <f>Bovespa!BM18</f>
        <v>PETR4</v>
      </c>
      <c r="B14" s="13">
        <v>32.53</v>
      </c>
      <c r="C14" s="13">
        <v>32.82</v>
      </c>
      <c r="D14" s="13">
        <v>31.21</v>
      </c>
      <c r="E14" s="13">
        <v>32.119999999999997</v>
      </c>
      <c r="F14" s="13">
        <v>32.6</v>
      </c>
    </row>
    <row r="15" spans="1:6" x14ac:dyDescent="0.25">
      <c r="A15" s="13" t="str">
        <f>Bovespa!BM19</f>
        <v>ASAI3</v>
      </c>
      <c r="B15" s="13">
        <v>10.91</v>
      </c>
      <c r="C15" s="13">
        <v>10.78</v>
      </c>
      <c r="D15" s="13">
        <v>11.04</v>
      </c>
      <c r="E15" s="13">
        <v>10.3</v>
      </c>
      <c r="F15" s="13">
        <v>9.98</v>
      </c>
    </row>
    <row r="16" spans="1:6" x14ac:dyDescent="0.25">
      <c r="A16" s="13" t="str">
        <f>Bovespa!BM20</f>
        <v>SHUL4</v>
      </c>
      <c r="B16" s="13">
        <v>5.31</v>
      </c>
      <c r="C16" s="13">
        <v>5.26</v>
      </c>
      <c r="D16" s="13">
        <v>5.22</v>
      </c>
      <c r="E16" s="13">
        <v>5.28</v>
      </c>
      <c r="F16" s="13">
        <v>5.19</v>
      </c>
    </row>
    <row r="17" spans="1:6" x14ac:dyDescent="0.25">
      <c r="A17" s="13" t="str">
        <f>Bovespa!BM21</f>
        <v>LEVE3</v>
      </c>
      <c r="B17" s="13">
        <v>30.25</v>
      </c>
      <c r="C17" s="13">
        <v>29.26</v>
      </c>
      <c r="D17" s="13">
        <v>29.55</v>
      </c>
      <c r="E17" s="13">
        <v>30.01</v>
      </c>
      <c r="F17" s="13">
        <v>29.2</v>
      </c>
    </row>
    <row r="18" spans="1:6" x14ac:dyDescent="0.25">
      <c r="A18" s="13" t="str">
        <f>Bovespa!BM22</f>
        <v>CPLE6</v>
      </c>
      <c r="B18" s="13">
        <v>12.39</v>
      </c>
      <c r="C18" s="13">
        <v>12.41</v>
      </c>
      <c r="D18" s="13">
        <v>12.24</v>
      </c>
      <c r="E18" s="13">
        <v>12.34</v>
      </c>
      <c r="F18" s="13">
        <v>11.95</v>
      </c>
    </row>
    <row r="19" spans="1:6" x14ac:dyDescent="0.25">
      <c r="A19" s="13" t="str">
        <f>Bovespa!BM23</f>
        <v>CEBR6</v>
      </c>
      <c r="B19" s="13">
        <v>21.1</v>
      </c>
      <c r="C19" s="13">
        <v>20.72</v>
      </c>
      <c r="D19" s="13">
        <v>21</v>
      </c>
      <c r="E19" s="13">
        <v>21.6</v>
      </c>
      <c r="F19" s="13">
        <v>21.73</v>
      </c>
    </row>
    <row r="20" spans="1:6" x14ac:dyDescent="0.25">
      <c r="A20" s="13" t="str">
        <f>Bovespa!BM24</f>
        <v>PRNR3</v>
      </c>
      <c r="B20" s="13">
        <v>15.11</v>
      </c>
      <c r="C20" s="13">
        <v>15.01</v>
      </c>
      <c r="D20" s="13">
        <v>14.62</v>
      </c>
      <c r="E20" s="13">
        <v>15.46</v>
      </c>
      <c r="F20" s="13">
        <v>15.56</v>
      </c>
    </row>
    <row r="21" spans="1:6" x14ac:dyDescent="0.25">
      <c r="A21" s="13" t="str">
        <f>Bovespa!BM25</f>
        <v>CMIG4</v>
      </c>
      <c r="B21" s="13">
        <v>10.57</v>
      </c>
      <c r="C21" s="13">
        <v>10.75</v>
      </c>
      <c r="D21" s="13">
        <v>10.48</v>
      </c>
      <c r="E21" s="13">
        <v>11.18</v>
      </c>
      <c r="F21" s="13">
        <v>10.8</v>
      </c>
    </row>
    <row r="22" spans="1:6" x14ac:dyDescent="0.25">
      <c r="A22" s="13" t="str">
        <f>Bovespa!BM26</f>
        <v>BEES4</v>
      </c>
      <c r="B22" s="13">
        <v>8.65</v>
      </c>
      <c r="C22" s="13">
        <v>8.65</v>
      </c>
      <c r="D22" s="13">
        <v>8.4700000000000006</v>
      </c>
      <c r="E22" s="13">
        <v>8.59</v>
      </c>
      <c r="F22" s="13">
        <v>8.52</v>
      </c>
    </row>
    <row r="23" spans="1:6" x14ac:dyDescent="0.25">
      <c r="A23" s="13" t="str">
        <f>Bovespa!BM27</f>
        <v>POMO3</v>
      </c>
      <c r="B23" s="13">
        <v>6.2</v>
      </c>
      <c r="C23" s="13">
        <v>6.25</v>
      </c>
      <c r="D23" s="13">
        <v>6.46</v>
      </c>
      <c r="E23" s="13">
        <v>6.53</v>
      </c>
      <c r="F23" s="13">
        <v>6.44</v>
      </c>
    </row>
    <row r="24" spans="1:6" x14ac:dyDescent="0.25">
      <c r="A24" s="13" t="str">
        <f>Bovespa!BM28</f>
        <v>BMOB3</v>
      </c>
      <c r="B24" s="13">
        <v>19.100000000000001</v>
      </c>
      <c r="C24" s="13">
        <v>19.45</v>
      </c>
      <c r="D24" s="13">
        <v>19.690000000000001</v>
      </c>
      <c r="E24" s="13">
        <v>22.08</v>
      </c>
      <c r="F24" s="13">
        <v>21.89</v>
      </c>
    </row>
    <row r="25" spans="1:6" x14ac:dyDescent="0.25">
      <c r="A25" s="13" t="str">
        <f>Bovespa!BM29</f>
        <v>MTSA4</v>
      </c>
      <c r="B25" s="13">
        <v>42.15</v>
      </c>
      <c r="C25" s="13">
        <v>43.2</v>
      </c>
      <c r="D25" s="13">
        <v>42.23</v>
      </c>
      <c r="E25" s="13">
        <v>43.87</v>
      </c>
      <c r="F25" s="13">
        <v>43.16</v>
      </c>
    </row>
    <row r="26" spans="1:6" x14ac:dyDescent="0.25">
      <c r="A26" s="13" t="str">
        <f>Bovespa!BM30</f>
        <v>CAMB3</v>
      </c>
      <c r="B26" s="13">
        <v>9.7200000000000006</v>
      </c>
      <c r="C26" s="13">
        <v>9.58</v>
      </c>
      <c r="D26" s="13">
        <v>10.06</v>
      </c>
      <c r="E26" s="13">
        <v>10.17</v>
      </c>
      <c r="F26" s="13">
        <v>9.91</v>
      </c>
    </row>
    <row r="27" spans="1:6" x14ac:dyDescent="0.25">
      <c r="A27" s="13" t="str">
        <f>Bovespa!BM31</f>
        <v>BRAP3</v>
      </c>
      <c r="B27" s="13">
        <v>14.5</v>
      </c>
      <c r="C27" s="13">
        <v>14.49</v>
      </c>
      <c r="D27" s="13">
        <v>14.59</v>
      </c>
      <c r="E27" s="13">
        <v>15.4</v>
      </c>
      <c r="F27" s="13">
        <v>15.4</v>
      </c>
    </row>
    <row r="28" spans="1:6" x14ac:dyDescent="0.25">
      <c r="A28" s="13" t="str">
        <f>Bovespa!BM32</f>
        <v>HAGA4</v>
      </c>
      <c r="B28" s="13">
        <v>1.23</v>
      </c>
      <c r="C28" s="13">
        <v>1.23</v>
      </c>
      <c r="D28" s="13">
        <v>1.21</v>
      </c>
      <c r="E28" s="13">
        <v>1.21</v>
      </c>
      <c r="F28" s="13">
        <v>1.17</v>
      </c>
    </row>
    <row r="29" spans="1:6" x14ac:dyDescent="0.25">
      <c r="A29" s="13" t="str">
        <f>Bovespa!BM33</f>
        <v>SANB3</v>
      </c>
      <c r="B29" s="13">
        <v>14.13</v>
      </c>
      <c r="C29" s="13">
        <v>13.99</v>
      </c>
      <c r="D29" s="13">
        <v>13.79</v>
      </c>
      <c r="E29" s="13">
        <v>13.92</v>
      </c>
      <c r="F29" s="13">
        <v>13.3</v>
      </c>
    </row>
    <row r="30" spans="1:6" x14ac:dyDescent="0.25">
      <c r="A30" s="13" t="str">
        <f>Bovespa!BM34</f>
        <v>CSUD3</v>
      </c>
      <c r="B30" s="13">
        <v>17.850000000000001</v>
      </c>
      <c r="C30" s="13">
        <v>18.239999999999998</v>
      </c>
      <c r="D30" s="13">
        <v>18.34</v>
      </c>
      <c r="E30" s="13">
        <v>18.579999999999998</v>
      </c>
      <c r="F30" s="13">
        <v>18.39</v>
      </c>
    </row>
    <row r="31" spans="1:6" x14ac:dyDescent="0.25">
      <c r="A31" s="13" t="str">
        <f>Bovespa!BM35</f>
        <v>BLAU3</v>
      </c>
      <c r="B31" s="13">
        <v>13.7</v>
      </c>
      <c r="C31" s="13">
        <v>13.67</v>
      </c>
      <c r="D31" s="13">
        <v>13.43</v>
      </c>
      <c r="E31" s="13">
        <v>12.84</v>
      </c>
      <c r="F31" s="13">
        <v>13.01</v>
      </c>
    </row>
    <row r="32" spans="1:6" x14ac:dyDescent="0.25">
      <c r="A32" s="13" t="str">
        <f>Bovespa!BM36</f>
        <v>GGBR3</v>
      </c>
      <c r="B32" s="13">
        <v>14.96</v>
      </c>
      <c r="C32" s="13">
        <v>14.27</v>
      </c>
      <c r="D32" s="13">
        <v>14.55</v>
      </c>
      <c r="E32" s="13">
        <v>15.16</v>
      </c>
      <c r="F32" s="13">
        <v>14.94</v>
      </c>
    </row>
    <row r="33" spans="1:6" x14ac:dyDescent="0.25">
      <c r="A33" s="13" t="str">
        <f>Bovespa!BM37</f>
        <v>CRFB3</v>
      </c>
      <c r="B33" s="13">
        <v>8.48</v>
      </c>
      <c r="C33" s="13">
        <v>8.48</v>
      </c>
      <c r="D33" s="13">
        <v>8.48</v>
      </c>
      <c r="E33" s="13">
        <v>8.48</v>
      </c>
      <c r="F33" s="13">
        <v>8.48</v>
      </c>
    </row>
    <row r="34" spans="1:6" x14ac:dyDescent="0.25">
      <c r="A34" s="13" t="str">
        <f>Bovespa!BM38</f>
        <v>SAPR3</v>
      </c>
      <c r="B34" s="13">
        <v>7.19</v>
      </c>
      <c r="C34" s="13" t="s">
        <v>505</v>
      </c>
      <c r="D34" s="13">
        <v>7.7</v>
      </c>
      <c r="E34" s="13">
        <v>7.97</v>
      </c>
      <c r="F34" s="13">
        <v>7.89</v>
      </c>
    </row>
    <row r="35" spans="1:6" x14ac:dyDescent="0.25">
      <c r="A35" s="13" t="str">
        <f>Bovespa!BM39</f>
        <v>ABCB4</v>
      </c>
      <c r="B35" s="13">
        <v>21.06</v>
      </c>
      <c r="C35" s="13">
        <v>21.36</v>
      </c>
      <c r="D35" s="13">
        <v>22.2</v>
      </c>
      <c r="E35" s="13">
        <v>21.64</v>
      </c>
      <c r="F35" s="13">
        <v>20.98</v>
      </c>
    </row>
    <row r="36" spans="1:6" x14ac:dyDescent="0.25">
      <c r="A36" s="13" t="str">
        <f>Bovespa!BM40</f>
        <v>BRSR6</v>
      </c>
      <c r="B36" s="13">
        <v>11.44</v>
      </c>
      <c r="C36" s="13">
        <v>11.63</v>
      </c>
      <c r="D36" s="13">
        <v>11.4</v>
      </c>
      <c r="E36" s="13">
        <v>11.67</v>
      </c>
      <c r="F36" s="13">
        <v>11.18</v>
      </c>
    </row>
    <row r="37" spans="1:6" x14ac:dyDescent="0.25">
      <c r="A37" s="13" t="str">
        <f>Bovespa!BM41</f>
        <v>PORT3</v>
      </c>
      <c r="B37" s="13">
        <v>17.440000000000001</v>
      </c>
      <c r="C37" s="13">
        <v>17.5</v>
      </c>
      <c r="D37" s="13">
        <v>17.45</v>
      </c>
      <c r="E37" s="13">
        <v>17.5</v>
      </c>
      <c r="F37" s="13">
        <v>17.5</v>
      </c>
    </row>
    <row r="38" spans="1:6" x14ac:dyDescent="0.25">
      <c r="A38" s="13" t="str">
        <f>Bovespa!BM42</f>
        <v>PINE4</v>
      </c>
      <c r="B38" s="13">
        <v>5.68</v>
      </c>
      <c r="C38" s="13">
        <v>6</v>
      </c>
      <c r="D38" s="13">
        <v>5.86</v>
      </c>
      <c r="E38" s="13">
        <v>5.9</v>
      </c>
      <c r="F38" s="13">
        <v>6.07</v>
      </c>
    </row>
    <row r="39" spans="1:6" x14ac:dyDescent="0.25">
      <c r="A39" s="13" t="str">
        <f>Bovespa!BM43</f>
        <v>ITSA3</v>
      </c>
      <c r="B39" s="13">
        <v>10.73</v>
      </c>
      <c r="C39" s="13">
        <v>10.87</v>
      </c>
      <c r="D39" s="13">
        <v>10.8</v>
      </c>
      <c r="E39" s="13">
        <v>11.14</v>
      </c>
      <c r="F39" s="13">
        <v>10.5</v>
      </c>
    </row>
    <row r="40" spans="1:6" x14ac:dyDescent="0.25">
      <c r="A40" s="13" t="str">
        <f>Bovespa!BM44</f>
        <v>MEAL3</v>
      </c>
      <c r="B40" s="13">
        <v>1.1299999999999999</v>
      </c>
      <c r="C40" s="13">
        <v>1.1499999999999999</v>
      </c>
      <c r="D40" s="13">
        <v>1.19</v>
      </c>
      <c r="E40" s="13">
        <v>1.23</v>
      </c>
      <c r="F40" s="13">
        <v>1.21</v>
      </c>
    </row>
    <row r="41" spans="1:6" x14ac:dyDescent="0.25">
      <c r="A41" s="13" t="str">
        <f>Bovespa!BM45</f>
        <v>BBSE3</v>
      </c>
      <c r="B41" s="13">
        <v>35.51</v>
      </c>
      <c r="C41" s="13">
        <v>35.19</v>
      </c>
      <c r="D41" s="13">
        <v>35.229999999999997</v>
      </c>
      <c r="E41" s="13">
        <v>36.51</v>
      </c>
      <c r="F41" s="13">
        <v>35.22</v>
      </c>
    </row>
    <row r="42" spans="1:6" x14ac:dyDescent="0.25">
      <c r="A42" s="13" t="str">
        <f>Bovespa!BM46</f>
        <v>GOAU3</v>
      </c>
      <c r="B42" s="13">
        <v>9.2200000000000006</v>
      </c>
      <c r="C42" s="13">
        <v>9.2799999999999994</v>
      </c>
      <c r="D42" s="13">
        <v>8.86</v>
      </c>
      <c r="E42" s="13">
        <v>9.39</v>
      </c>
      <c r="F42" s="13">
        <v>9.31</v>
      </c>
    </row>
    <row r="43" spans="1:6" x14ac:dyDescent="0.25">
      <c r="A43" s="13" t="str">
        <f>Bovespa!BM47</f>
        <v>ITUB4</v>
      </c>
      <c r="B43" s="13">
        <v>36.17</v>
      </c>
      <c r="C43" s="13">
        <v>36.64</v>
      </c>
      <c r="D43" s="13">
        <v>36.270000000000003</v>
      </c>
      <c r="E43" s="13">
        <v>37.729999999999997</v>
      </c>
      <c r="F43" s="13">
        <v>34.96</v>
      </c>
    </row>
    <row r="44" spans="1:6" x14ac:dyDescent="0.25">
      <c r="A44" s="13" t="str">
        <f>Bovespa!BM48</f>
        <v>AGRO3</v>
      </c>
      <c r="B44" s="13">
        <v>20.82</v>
      </c>
      <c r="C44" s="13">
        <v>20.76</v>
      </c>
      <c r="D44" s="13">
        <v>20.05</v>
      </c>
      <c r="E44" s="13">
        <v>20.68</v>
      </c>
      <c r="F44" s="13">
        <v>20.8</v>
      </c>
    </row>
    <row r="45" spans="1:6" x14ac:dyDescent="0.25">
      <c r="A45" s="13" t="str">
        <f>Bovespa!BM49</f>
        <v>BMGB4</v>
      </c>
      <c r="B45" s="13">
        <v>3.67</v>
      </c>
      <c r="C45" s="13">
        <v>3.66</v>
      </c>
      <c r="D45" s="13">
        <v>3.68</v>
      </c>
      <c r="E45" s="13">
        <v>3.72</v>
      </c>
      <c r="F45" s="13">
        <v>3.64</v>
      </c>
    </row>
    <row r="46" spans="1:6" x14ac:dyDescent="0.25">
      <c r="A46" s="13" t="str">
        <f>Bovespa!BM50</f>
        <v>LAND3</v>
      </c>
      <c r="B46" s="13">
        <v>10.98</v>
      </c>
      <c r="C46" s="13">
        <v>10.46</v>
      </c>
      <c r="D46" s="13">
        <v>10.27</v>
      </c>
      <c r="E46" s="13">
        <v>10.44</v>
      </c>
      <c r="F46" s="13">
        <v>10.14</v>
      </c>
    </row>
    <row r="47" spans="1:6" x14ac:dyDescent="0.25">
      <c r="A47" s="13" t="str">
        <f>Bovespa!BM51</f>
        <v>GGBR4</v>
      </c>
      <c r="B47" s="13">
        <v>16.760000000000002</v>
      </c>
      <c r="C47" s="13">
        <v>16.010000000000002</v>
      </c>
      <c r="D47" s="13">
        <v>15.9</v>
      </c>
      <c r="E47" s="13">
        <v>16.78</v>
      </c>
      <c r="F47" s="13">
        <v>16.690000000000001</v>
      </c>
    </row>
    <row r="48" spans="1:6" x14ac:dyDescent="0.25">
      <c r="A48" s="13" t="str">
        <f>Bovespa!BM52</f>
        <v>ITSA4</v>
      </c>
      <c r="B48" s="13">
        <v>10.71</v>
      </c>
      <c r="C48" s="13">
        <v>10.81</v>
      </c>
      <c r="D48" s="13">
        <v>10.71</v>
      </c>
      <c r="E48" s="13">
        <v>11.12</v>
      </c>
      <c r="F48" s="13">
        <v>10.48</v>
      </c>
    </row>
    <row r="49" spans="1:6" x14ac:dyDescent="0.25">
      <c r="A49" s="13" t="str">
        <f>Bovespa!BM53</f>
        <v>SMFT3</v>
      </c>
      <c r="B49" s="13">
        <v>24.17</v>
      </c>
      <c r="C49" s="13">
        <v>23.91</v>
      </c>
      <c r="D49" s="13">
        <v>24.29</v>
      </c>
      <c r="E49" s="13">
        <v>23.36</v>
      </c>
      <c r="F49" s="13">
        <v>22.71</v>
      </c>
    </row>
    <row r="50" spans="1:6" x14ac:dyDescent="0.25">
      <c r="A50" s="13" t="str">
        <f>Bovespa!BM54</f>
        <v>FLRY3</v>
      </c>
      <c r="B50" s="13">
        <v>13.02</v>
      </c>
      <c r="C50" s="13">
        <v>13.06</v>
      </c>
      <c r="D50" s="13">
        <v>12.73</v>
      </c>
      <c r="E50" s="13">
        <v>13.02</v>
      </c>
      <c r="F50" s="13">
        <v>12.62</v>
      </c>
    </row>
    <row r="51" spans="1:6" x14ac:dyDescent="0.25">
      <c r="A51" s="13" t="str">
        <f>Bovespa!BM55</f>
        <v>ROMI3</v>
      </c>
      <c r="B51" s="13">
        <v>9.3800000000000008</v>
      </c>
      <c r="C51" s="13">
        <v>8.93</v>
      </c>
      <c r="D51" s="13">
        <v>8.9700000000000006</v>
      </c>
      <c r="E51" s="13">
        <v>8.91</v>
      </c>
      <c r="F51" s="13">
        <v>8.9600000000000009</v>
      </c>
    </row>
    <row r="52" spans="1:6" x14ac:dyDescent="0.25">
      <c r="A52" s="13" t="str">
        <f>Bovespa!BM56</f>
        <v>TAEE4</v>
      </c>
      <c r="B52" s="13">
        <v>11.36</v>
      </c>
      <c r="C52" s="13">
        <v>11.48</v>
      </c>
      <c r="D52" s="13">
        <v>11.54</v>
      </c>
      <c r="E52" s="13">
        <v>11.75</v>
      </c>
      <c r="F52" s="13">
        <v>11.36</v>
      </c>
    </row>
    <row r="53" spans="1:6" x14ac:dyDescent="0.25">
      <c r="A53" s="13" t="str">
        <f>Bovespa!BM57</f>
        <v>RAIL3</v>
      </c>
      <c r="B53" s="13">
        <v>19.13</v>
      </c>
      <c r="C53" s="13">
        <v>17.97</v>
      </c>
      <c r="D53" s="13">
        <v>17.96</v>
      </c>
      <c r="E53" s="13">
        <v>18.579999999999998</v>
      </c>
      <c r="F53" s="13">
        <v>17.12</v>
      </c>
    </row>
    <row r="54" spans="1:6" x14ac:dyDescent="0.25">
      <c r="A54" s="13" t="str">
        <f>Bovespa!BM58</f>
        <v>CYRE3</v>
      </c>
      <c r="B54" s="13">
        <v>24.4</v>
      </c>
      <c r="C54" s="13">
        <v>25.26</v>
      </c>
      <c r="D54" s="13">
        <v>25.62</v>
      </c>
      <c r="E54" s="13">
        <v>26.01</v>
      </c>
      <c r="F54" s="13">
        <v>25.6</v>
      </c>
    </row>
    <row r="55" spans="1:6" x14ac:dyDescent="0.25">
      <c r="A55" s="13" t="str">
        <f>Bovespa!BM59</f>
        <v>CXSE3</v>
      </c>
      <c r="B55" s="13">
        <v>14.6</v>
      </c>
      <c r="C55" s="13">
        <v>14.2</v>
      </c>
      <c r="D55" s="13">
        <v>14.38</v>
      </c>
      <c r="E55" s="13">
        <v>14.9</v>
      </c>
      <c r="F55" s="13">
        <v>14.4</v>
      </c>
    </row>
    <row r="56" spans="1:6" x14ac:dyDescent="0.25">
      <c r="A56" s="13" t="str">
        <f>Bovespa!BM60</f>
        <v>ALLD3</v>
      </c>
      <c r="B56" s="13">
        <v>7.07</v>
      </c>
      <c r="C56" s="13">
        <v>7.07</v>
      </c>
      <c r="D56" s="13">
        <v>6.84</v>
      </c>
      <c r="E56" s="13">
        <v>7.04</v>
      </c>
      <c r="F56" s="13">
        <v>6.97</v>
      </c>
    </row>
    <row r="57" spans="1:6" x14ac:dyDescent="0.25">
      <c r="A57" s="13" t="str">
        <f>Bovespa!BM61</f>
        <v>DEXP3</v>
      </c>
      <c r="B57" s="13">
        <v>8.85</v>
      </c>
      <c r="C57" s="13">
        <v>9.0399999999999991</v>
      </c>
      <c r="D57" s="13">
        <v>9.15</v>
      </c>
      <c r="E57" s="13">
        <v>9.44</v>
      </c>
      <c r="F57" s="13">
        <v>9.17</v>
      </c>
    </row>
    <row r="58" spans="1:6" x14ac:dyDescent="0.25">
      <c r="A58" s="13" t="str">
        <f>Bovespa!BM62</f>
        <v>VLID3</v>
      </c>
      <c r="B58" s="13">
        <v>25.39</v>
      </c>
      <c r="C58" s="13">
        <v>25.56</v>
      </c>
      <c r="D58" s="13">
        <v>25.13</v>
      </c>
      <c r="E58" s="13">
        <v>24.96</v>
      </c>
      <c r="F58" s="13">
        <v>23.34</v>
      </c>
    </row>
    <row r="59" spans="1:6" x14ac:dyDescent="0.25">
      <c r="A59" s="13" t="str">
        <f>Bovespa!BM63</f>
        <v>HAGA3</v>
      </c>
      <c r="B59" s="13">
        <v>1.96</v>
      </c>
      <c r="C59" s="13">
        <v>1.93</v>
      </c>
      <c r="D59" s="13">
        <v>1.94</v>
      </c>
      <c r="E59" s="13">
        <v>1.95</v>
      </c>
      <c r="F59" s="13">
        <v>1.98</v>
      </c>
    </row>
    <row r="60" spans="1:6" x14ac:dyDescent="0.25">
      <c r="A60" s="13" t="str">
        <f>Bovespa!BM64</f>
        <v>BRAV3</v>
      </c>
      <c r="B60" s="13">
        <v>20.78</v>
      </c>
      <c r="C60" s="13">
        <v>20.32</v>
      </c>
      <c r="D60" s="13">
        <v>17.2</v>
      </c>
      <c r="E60" s="13">
        <v>17.989999999999998</v>
      </c>
      <c r="F60" s="13">
        <v>17.79</v>
      </c>
    </row>
    <row r="61" spans="1:6" x14ac:dyDescent="0.25">
      <c r="A61" s="13" t="str">
        <f>Bovespa!BM65</f>
        <v>MILS3</v>
      </c>
      <c r="B61" s="13">
        <v>10.66</v>
      </c>
      <c r="C61" s="13">
        <v>10.4</v>
      </c>
      <c r="D61" s="13">
        <v>10.66</v>
      </c>
      <c r="E61" s="13">
        <v>11.49</v>
      </c>
      <c r="F61" s="13">
        <v>11.25</v>
      </c>
    </row>
    <row r="62" spans="1:6" x14ac:dyDescent="0.25">
      <c r="A62" s="13" t="str">
        <f>Bovespa!BM66</f>
        <v>STBP3</v>
      </c>
      <c r="B62" s="13">
        <v>13.71</v>
      </c>
      <c r="C62" s="13">
        <v>13.69</v>
      </c>
      <c r="D62" s="13">
        <v>13.75</v>
      </c>
      <c r="E62" s="13">
        <v>13.76</v>
      </c>
      <c r="F62" s="13">
        <v>13.82</v>
      </c>
    </row>
    <row r="63" spans="1:6" x14ac:dyDescent="0.25">
      <c r="A63" s="13" t="str">
        <f>Bovespa!BM67</f>
        <v>VBBR3</v>
      </c>
      <c r="B63" s="13">
        <v>21.07</v>
      </c>
      <c r="C63" s="13">
        <v>21.43</v>
      </c>
      <c r="D63" s="13">
        <v>21.21</v>
      </c>
      <c r="E63" s="13">
        <v>22.59</v>
      </c>
      <c r="F63" s="13">
        <v>21.74</v>
      </c>
    </row>
    <row r="64" spans="1:6" x14ac:dyDescent="0.25">
      <c r="A64" s="13" t="str">
        <f>Bovespa!BM68</f>
        <v>FRAS3</v>
      </c>
      <c r="B64" s="13">
        <v>27.03</v>
      </c>
      <c r="C64" s="13">
        <v>26.86</v>
      </c>
      <c r="D64" s="13">
        <v>27.01</v>
      </c>
      <c r="E64" s="13">
        <v>27.74</v>
      </c>
      <c r="F64" s="13">
        <v>23.91</v>
      </c>
    </row>
    <row r="65" spans="1:6" x14ac:dyDescent="0.25">
      <c r="A65" s="13" t="str">
        <f>Bovespa!BM69</f>
        <v>ALUP4</v>
      </c>
      <c r="B65" s="13">
        <v>9.6300000000000008</v>
      </c>
      <c r="C65" s="13">
        <v>9.6199999999999992</v>
      </c>
      <c r="D65" s="13">
        <v>9.83</v>
      </c>
      <c r="E65" s="13">
        <v>9.86</v>
      </c>
      <c r="F65" s="13">
        <v>9.6199999999999992</v>
      </c>
    </row>
    <row r="66" spans="1:6" x14ac:dyDescent="0.25">
      <c r="A66" s="13" t="str">
        <f>Bovespa!BM70</f>
        <v>TRIS3</v>
      </c>
      <c r="B66" s="13">
        <v>7.64</v>
      </c>
      <c r="C66" s="13">
        <v>7.78</v>
      </c>
      <c r="D66" s="13">
        <v>7.2</v>
      </c>
      <c r="E66" s="13">
        <v>6.96</v>
      </c>
      <c r="F66" s="13">
        <v>6.7</v>
      </c>
    </row>
    <row r="67" spans="1:6" x14ac:dyDescent="0.25">
      <c r="A67" s="13" t="str">
        <f>Bovespa!BM71</f>
        <v>TGMA3</v>
      </c>
      <c r="B67" s="13">
        <v>36.4</v>
      </c>
      <c r="C67" s="13">
        <v>34.630000000000003</v>
      </c>
      <c r="D67" s="13">
        <v>34.630000000000003</v>
      </c>
      <c r="E67" s="13">
        <v>36.72</v>
      </c>
      <c r="F67" s="13">
        <v>35.340000000000003</v>
      </c>
    </row>
    <row r="68" spans="1:6" x14ac:dyDescent="0.25">
      <c r="A68" s="13" t="str">
        <f>Bovespa!BM72</f>
        <v>REDE3</v>
      </c>
      <c r="B68" s="13">
        <v>6.82</v>
      </c>
      <c r="C68" s="13">
        <v>6.77</v>
      </c>
      <c r="D68" s="13">
        <v>6.63</v>
      </c>
      <c r="E68" s="13">
        <v>6.7</v>
      </c>
      <c r="F68" s="13">
        <v>6.61</v>
      </c>
    </row>
    <row r="69" spans="1:6" x14ac:dyDescent="0.25">
      <c r="A69" s="13" t="str">
        <f>Bovespa!BM73</f>
        <v>RNEW3</v>
      </c>
      <c r="B69" s="13">
        <v>1.1599999999999999</v>
      </c>
      <c r="C69" s="13">
        <v>1.1200000000000001</v>
      </c>
      <c r="D69" s="13">
        <v>0.91</v>
      </c>
      <c r="E69" s="13">
        <v>0.97</v>
      </c>
      <c r="F69" s="13">
        <v>0.98</v>
      </c>
    </row>
    <row r="70" spans="1:6" x14ac:dyDescent="0.25">
      <c r="A70" s="13" t="str">
        <f>Bovespa!BM74</f>
        <v>CVCB3</v>
      </c>
      <c r="B70" s="13">
        <v>2.31</v>
      </c>
      <c r="C70" s="13">
        <v>2.29</v>
      </c>
      <c r="D70" s="13">
        <v>2.35</v>
      </c>
      <c r="E70" s="13">
        <v>2.4900000000000002</v>
      </c>
      <c r="F70" s="13">
        <v>2.37</v>
      </c>
    </row>
    <row r="71" spans="1:6" x14ac:dyDescent="0.25">
      <c r="A71" s="13" t="str">
        <f>Bovespa!BM75</f>
        <v>ORVR3</v>
      </c>
      <c r="B71" s="13">
        <v>51.72</v>
      </c>
      <c r="C71" s="13">
        <v>52.5</v>
      </c>
      <c r="D71" s="13">
        <v>53.51</v>
      </c>
      <c r="E71" s="13">
        <v>53.6</v>
      </c>
      <c r="F71" s="13">
        <v>51.22</v>
      </c>
    </row>
    <row r="72" spans="1:6" x14ac:dyDescent="0.25">
      <c r="A72" s="13" t="str">
        <f>Bovespa!BM76</f>
        <v>IRBR3</v>
      </c>
      <c r="B72" s="13">
        <v>47.05</v>
      </c>
      <c r="C72" s="13">
        <v>47.32</v>
      </c>
      <c r="D72" s="13">
        <v>44.28</v>
      </c>
      <c r="E72" s="13">
        <v>46.6</v>
      </c>
      <c r="F72" s="13">
        <v>44.36</v>
      </c>
    </row>
    <row r="73" spans="1:6" x14ac:dyDescent="0.25">
      <c r="A73" s="13" t="str">
        <f>Bovespa!BM77</f>
        <v>EALT4</v>
      </c>
      <c r="B73" s="13">
        <v>14.65</v>
      </c>
      <c r="C73" s="13">
        <v>14.05</v>
      </c>
      <c r="D73" s="13">
        <v>14.1</v>
      </c>
      <c r="E73" s="13">
        <v>14.5</v>
      </c>
      <c r="F73" s="13">
        <v>14.3</v>
      </c>
    </row>
    <row r="74" spans="1:6" x14ac:dyDescent="0.25">
      <c r="A74" s="13" t="str">
        <f>Bovespa!BM78</f>
        <v>GRND3</v>
      </c>
      <c r="B74" s="13">
        <v>5.5</v>
      </c>
      <c r="C74" s="13">
        <v>5.38</v>
      </c>
      <c r="D74" s="13">
        <v>5.4</v>
      </c>
      <c r="E74" s="13">
        <v>5.46</v>
      </c>
      <c r="F74" s="13">
        <v>5.31</v>
      </c>
    </row>
    <row r="75" spans="1:6" x14ac:dyDescent="0.25">
      <c r="A75" s="13" t="str">
        <f>Bovespa!BM79</f>
        <v>BPAN4</v>
      </c>
      <c r="B75" s="13">
        <v>8.15</v>
      </c>
      <c r="C75" s="13">
        <v>8.1999999999999993</v>
      </c>
      <c r="D75" s="13">
        <v>8.07</v>
      </c>
      <c r="E75" s="13">
        <v>7.8</v>
      </c>
      <c r="F75" s="13">
        <v>7.43</v>
      </c>
    </row>
    <row r="76" spans="1:6" x14ac:dyDescent="0.25">
      <c r="A76" s="13" t="str">
        <f>Bovespa!BM80</f>
        <v>WEGE3</v>
      </c>
      <c r="B76" s="13">
        <v>42.39</v>
      </c>
      <c r="C76" s="13">
        <v>41.64</v>
      </c>
      <c r="D76" s="13">
        <v>42.35</v>
      </c>
      <c r="E76" s="13">
        <v>43</v>
      </c>
      <c r="F76" s="13">
        <v>39.450000000000003</v>
      </c>
    </row>
    <row r="77" spans="1:6" x14ac:dyDescent="0.25">
      <c r="A77" s="13" t="str">
        <f>Bovespa!BM81</f>
        <v>EGIE3</v>
      </c>
      <c r="B77" s="13">
        <v>40.46</v>
      </c>
      <c r="C77" s="13">
        <v>40.049999999999997</v>
      </c>
      <c r="D77" s="13">
        <v>45.03</v>
      </c>
      <c r="E77" s="13">
        <v>46.3</v>
      </c>
      <c r="F77" s="13">
        <v>41.6</v>
      </c>
    </row>
    <row r="78" spans="1:6" x14ac:dyDescent="0.25">
      <c r="A78" s="13" t="str">
        <f>Bovespa!BM82</f>
        <v>JBSS3</v>
      </c>
      <c r="B78" s="13">
        <v>39.03</v>
      </c>
      <c r="C78" s="13">
        <v>39.03</v>
      </c>
      <c r="D78" s="13">
        <v>39.03</v>
      </c>
      <c r="E78" s="13">
        <v>39.03</v>
      </c>
      <c r="F78" s="13">
        <v>39.03</v>
      </c>
    </row>
    <row r="79" spans="1:6" x14ac:dyDescent="0.25">
      <c r="A79" s="13" t="str">
        <f>Bovespa!BM83</f>
        <v>PFRM3</v>
      </c>
      <c r="B79" s="13">
        <v>8.69</v>
      </c>
      <c r="C79" s="13">
        <v>8.86</v>
      </c>
      <c r="D79" s="13">
        <v>8.52</v>
      </c>
      <c r="E79" s="13">
        <v>8.4700000000000006</v>
      </c>
      <c r="F79" s="13">
        <v>8.2899999999999991</v>
      </c>
    </row>
    <row r="80" spans="1:6" x14ac:dyDescent="0.25">
      <c r="A80" s="13" t="str">
        <f>Bovespa!BM84</f>
        <v>EQTL3</v>
      </c>
      <c r="B80" s="13">
        <v>36.4</v>
      </c>
      <c r="C80" s="13">
        <v>35.93</v>
      </c>
      <c r="D80" s="13">
        <v>35.28</v>
      </c>
      <c r="E80" s="13">
        <v>36.07</v>
      </c>
      <c r="F80" s="13">
        <v>34.340000000000003</v>
      </c>
    </row>
    <row r="81" spans="1:6" x14ac:dyDescent="0.25">
      <c r="A81" s="13" t="str">
        <f>Bovespa!BM85</f>
        <v>NEOE3</v>
      </c>
      <c r="B81" s="13">
        <v>24.45</v>
      </c>
      <c r="C81" s="13">
        <v>24.99</v>
      </c>
      <c r="D81" s="13">
        <v>24.91</v>
      </c>
      <c r="E81" s="13">
        <v>25.96</v>
      </c>
      <c r="F81" s="13">
        <v>24.23</v>
      </c>
    </row>
    <row r="82" spans="1:6" x14ac:dyDescent="0.25">
      <c r="A82" s="13" t="str">
        <f>Bovespa!BM86</f>
        <v>POSI3</v>
      </c>
      <c r="B82" s="13">
        <v>4.46</v>
      </c>
      <c r="C82" s="13">
        <v>4.28</v>
      </c>
      <c r="D82" s="13">
        <v>4.41</v>
      </c>
      <c r="E82" s="13">
        <v>4.67</v>
      </c>
      <c r="F82" s="13">
        <v>4.62</v>
      </c>
    </row>
    <row r="83" spans="1:6" x14ac:dyDescent="0.25">
      <c r="A83" s="13" t="str">
        <f>Bovespa!BM87</f>
        <v>WEST3</v>
      </c>
      <c r="B83" s="13">
        <v>4.25</v>
      </c>
      <c r="C83" s="13">
        <v>4.24</v>
      </c>
      <c r="D83" s="13">
        <v>3.6</v>
      </c>
      <c r="E83" s="13">
        <v>3.67</v>
      </c>
      <c r="F83" s="13">
        <v>3.57</v>
      </c>
    </row>
    <row r="84" spans="1:6" x14ac:dyDescent="0.25">
      <c r="A84" s="13" t="str">
        <f>Bovespa!BM88</f>
        <v>MDIA3</v>
      </c>
      <c r="B84" s="13">
        <v>23.11</v>
      </c>
      <c r="C84" s="13">
        <v>23.33</v>
      </c>
      <c r="D84" s="13">
        <v>23.9</v>
      </c>
      <c r="E84" s="13">
        <v>24.44</v>
      </c>
      <c r="F84" s="13">
        <v>26.75</v>
      </c>
    </row>
    <row r="85" spans="1:6" x14ac:dyDescent="0.25">
      <c r="A85" s="13" t="str">
        <f>Bovespa!BM89</f>
        <v>BBDC4</v>
      </c>
      <c r="B85" s="13">
        <v>16.29</v>
      </c>
      <c r="C85" s="13">
        <v>16.62</v>
      </c>
      <c r="D85" s="13">
        <v>16.57</v>
      </c>
      <c r="E85" s="13">
        <v>16.670000000000002</v>
      </c>
      <c r="F85" s="13">
        <v>16.05</v>
      </c>
    </row>
    <row r="86" spans="1:6" x14ac:dyDescent="0.25">
      <c r="A86" s="13" t="str">
        <f>Bovespa!BM90</f>
        <v>PSSA3</v>
      </c>
      <c r="B86" s="13">
        <v>52.99</v>
      </c>
      <c r="C86" s="13">
        <v>53.5</v>
      </c>
      <c r="D86" s="13">
        <v>54.18</v>
      </c>
      <c r="E86" s="13">
        <v>56.66</v>
      </c>
      <c r="F86" s="13">
        <v>52.35</v>
      </c>
    </row>
    <row r="87" spans="1:6" x14ac:dyDescent="0.25">
      <c r="A87" s="13" t="str">
        <f>Bovespa!BM91</f>
        <v>RNEW4</v>
      </c>
      <c r="B87" s="13">
        <v>1.1200000000000001</v>
      </c>
      <c r="C87" s="13">
        <v>1.1100000000000001</v>
      </c>
      <c r="D87" s="13">
        <v>0.88</v>
      </c>
      <c r="E87" s="13">
        <v>0.95</v>
      </c>
      <c r="F87" s="13">
        <v>0.99</v>
      </c>
    </row>
    <row r="88" spans="1:6" x14ac:dyDescent="0.25">
      <c r="A88" s="13" t="str">
        <f>Bovespa!BM92</f>
        <v>UNIP6</v>
      </c>
      <c r="B88" s="13">
        <v>59.11</v>
      </c>
      <c r="C88" s="13">
        <v>58.1</v>
      </c>
      <c r="D88" s="13">
        <v>57.84</v>
      </c>
      <c r="E88" s="13">
        <v>59.74</v>
      </c>
      <c r="F88" s="13">
        <v>58.9</v>
      </c>
    </row>
    <row r="89" spans="1:6" x14ac:dyDescent="0.25">
      <c r="A89" s="13" t="str">
        <f>Bovespa!BM93</f>
        <v>EZTC3</v>
      </c>
      <c r="B89" s="13">
        <v>13.29</v>
      </c>
      <c r="C89" s="13">
        <v>13.04</v>
      </c>
      <c r="D89" s="13">
        <v>13.46</v>
      </c>
      <c r="E89" s="13">
        <v>14.02</v>
      </c>
      <c r="F89" s="13">
        <v>13.26</v>
      </c>
    </row>
    <row r="90" spans="1:6" x14ac:dyDescent="0.25">
      <c r="A90" s="13" t="str">
        <f>Bovespa!BM94</f>
        <v>SUZB3</v>
      </c>
      <c r="B90" s="13">
        <v>54.11</v>
      </c>
      <c r="C90" s="13">
        <v>51.87</v>
      </c>
      <c r="D90" s="13">
        <v>51.15</v>
      </c>
      <c r="E90" s="13">
        <v>51.95</v>
      </c>
      <c r="F90" s="13">
        <v>49.74</v>
      </c>
    </row>
    <row r="91" spans="1:6" x14ac:dyDescent="0.25">
      <c r="A91" s="13" t="str">
        <f>Bovespa!BM95</f>
        <v>BMEB4</v>
      </c>
      <c r="B91" s="13">
        <v>40.6</v>
      </c>
      <c r="C91" s="13">
        <v>40</v>
      </c>
      <c r="D91" s="13">
        <v>40.01</v>
      </c>
      <c r="E91" s="13">
        <v>39.5</v>
      </c>
      <c r="F91" s="13">
        <v>39.159999999999997</v>
      </c>
    </row>
    <row r="92" spans="1:6" x14ac:dyDescent="0.25">
      <c r="A92" s="13" t="str">
        <f>Bovespa!BM96</f>
        <v>CPLE3</v>
      </c>
      <c r="B92" s="13">
        <v>11.56</v>
      </c>
      <c r="C92" s="13">
        <v>11.66</v>
      </c>
      <c r="D92" s="13">
        <v>11.43</v>
      </c>
      <c r="E92" s="13">
        <v>11.55</v>
      </c>
      <c r="F92" s="13">
        <v>11.21</v>
      </c>
    </row>
    <row r="93" spans="1:6" x14ac:dyDescent="0.25">
      <c r="A93" s="13" t="str">
        <f>Bovespa!BM97</f>
        <v>PETR3</v>
      </c>
      <c r="B93" s="13">
        <v>34.979999999999997</v>
      </c>
      <c r="C93" s="13">
        <v>35.909999999999997</v>
      </c>
      <c r="D93" s="13">
        <v>33.799999999999997</v>
      </c>
      <c r="E93" s="13">
        <v>35.15</v>
      </c>
      <c r="F93" s="13">
        <v>35.54</v>
      </c>
    </row>
    <row r="94" spans="1:6" x14ac:dyDescent="0.25">
      <c r="A94" s="13" t="str">
        <f>Bovespa!BM98</f>
        <v>BBDC3</v>
      </c>
      <c r="B94" s="13">
        <v>14.11</v>
      </c>
      <c r="C94" s="13">
        <v>14.29</v>
      </c>
      <c r="D94" s="13">
        <v>14.28</v>
      </c>
      <c r="E94" s="13">
        <v>14.41</v>
      </c>
      <c r="F94" s="13">
        <v>13.83</v>
      </c>
    </row>
    <row r="95" spans="1:6" x14ac:dyDescent="0.25">
      <c r="A95" s="13" t="str">
        <f>Bovespa!BM99</f>
        <v>POMO4</v>
      </c>
      <c r="B95" s="13">
        <v>7.58</v>
      </c>
      <c r="C95" s="13">
        <v>7.57</v>
      </c>
      <c r="D95" s="13">
        <v>7.89</v>
      </c>
      <c r="E95" s="13">
        <v>8.15</v>
      </c>
      <c r="F95" s="13">
        <v>8.0299999999999994</v>
      </c>
    </row>
    <row r="96" spans="1:6" x14ac:dyDescent="0.25">
      <c r="A96" s="13" t="str">
        <f>Bovespa!BM100</f>
        <v>VALE3</v>
      </c>
      <c r="B96" s="13">
        <v>52.13</v>
      </c>
      <c r="C96" s="13">
        <v>49.92</v>
      </c>
      <c r="D96" s="13">
        <v>53</v>
      </c>
      <c r="E96" s="13">
        <v>55.2</v>
      </c>
      <c r="F96" s="13">
        <v>56</v>
      </c>
    </row>
    <row r="97" spans="1:6" x14ac:dyDescent="0.25">
      <c r="A97" s="13" t="str">
        <f>Bovespa!BM101</f>
        <v>RADL3</v>
      </c>
      <c r="B97" s="13">
        <v>13.88</v>
      </c>
      <c r="C97" s="13">
        <v>14</v>
      </c>
      <c r="D97" s="13">
        <v>14.99</v>
      </c>
      <c r="E97" s="13">
        <v>15.3</v>
      </c>
      <c r="F97" s="13">
        <v>13.76</v>
      </c>
    </row>
    <row r="98" spans="1:6" x14ac:dyDescent="0.25">
      <c r="A98" s="13" t="str">
        <f>Bovespa!BM102</f>
        <v>GGPS3</v>
      </c>
      <c r="B98" s="13">
        <v>14.85</v>
      </c>
      <c r="C98" s="13">
        <v>15.05</v>
      </c>
      <c r="D98" s="13">
        <v>15.17</v>
      </c>
      <c r="E98" s="13">
        <v>16.41</v>
      </c>
      <c r="F98" s="13">
        <v>15.71</v>
      </c>
    </row>
    <row r="99" spans="1:6" x14ac:dyDescent="0.25">
      <c r="A99" s="13" t="str">
        <f>Bovespa!BM103</f>
        <v>HBSA3</v>
      </c>
      <c r="B99" s="13">
        <v>3.7</v>
      </c>
      <c r="C99" s="13">
        <v>3.7</v>
      </c>
      <c r="D99" s="13">
        <v>3.61</v>
      </c>
      <c r="E99" s="13">
        <v>3.53</v>
      </c>
      <c r="F99" s="13">
        <v>3.47</v>
      </c>
    </row>
    <row r="100" spans="1:6" x14ac:dyDescent="0.25">
      <c r="A100" s="13" t="str">
        <f>Bovespa!BM104</f>
        <v>CCRO3</v>
      </c>
      <c r="B100" s="13">
        <v>13.37</v>
      </c>
      <c r="C100" s="13">
        <v>13.51</v>
      </c>
      <c r="D100" s="13">
        <v>13.51</v>
      </c>
      <c r="E100" s="13">
        <v>13.79</v>
      </c>
      <c r="F100" s="13">
        <v>12.94</v>
      </c>
    </row>
    <row r="101" spans="1:6" x14ac:dyDescent="0.25">
      <c r="A101" s="13" t="str">
        <f>Bovespa!BM105</f>
        <v>MELK3</v>
      </c>
      <c r="B101" s="13">
        <v>3.33</v>
      </c>
      <c r="C101" s="13">
        <v>3.29</v>
      </c>
      <c r="D101" s="13">
        <v>3.27</v>
      </c>
      <c r="E101" s="13">
        <v>3.47</v>
      </c>
      <c r="F101" s="13">
        <v>3.48</v>
      </c>
    </row>
    <row r="102" spans="1:6" x14ac:dyDescent="0.25">
      <c r="A102" s="13" t="str">
        <f>Bovespa!BM106</f>
        <v>CPFE3</v>
      </c>
      <c r="B102" s="13">
        <v>40.5</v>
      </c>
      <c r="C102" s="13">
        <v>40.28</v>
      </c>
      <c r="D102" s="13">
        <v>40.33</v>
      </c>
      <c r="E102" s="13">
        <v>40.98</v>
      </c>
      <c r="F102" s="13">
        <v>38.06</v>
      </c>
    </row>
    <row r="103" spans="1:6" x14ac:dyDescent="0.25">
      <c r="A103" s="13" t="str">
        <f>Bovespa!BM107</f>
        <v>SBSP3</v>
      </c>
      <c r="B103" s="13">
        <v>115.11</v>
      </c>
      <c r="C103" s="13">
        <v>115.65</v>
      </c>
      <c r="D103" s="13">
        <v>115.05</v>
      </c>
      <c r="E103" s="13">
        <v>117.82</v>
      </c>
      <c r="F103" s="13">
        <v>111.63</v>
      </c>
    </row>
    <row r="104" spans="1:6" x14ac:dyDescent="0.25">
      <c r="A104" s="13" t="str">
        <f>Bovespa!BM108</f>
        <v>SOJA3</v>
      </c>
      <c r="B104" s="13">
        <v>11.42</v>
      </c>
      <c r="C104" s="13">
        <v>11.53</v>
      </c>
      <c r="D104" s="13">
        <v>11.42</v>
      </c>
      <c r="E104" s="13">
        <v>11.57</v>
      </c>
      <c r="F104" s="13">
        <v>11.17</v>
      </c>
    </row>
    <row r="105" spans="1:6" x14ac:dyDescent="0.25">
      <c r="A105" s="13" t="str">
        <f>Bovespa!BM109</f>
        <v>PTNT4</v>
      </c>
      <c r="B105" s="13">
        <v>4.88</v>
      </c>
      <c r="C105" s="13">
        <v>4.9000000000000004</v>
      </c>
      <c r="D105" s="13">
        <v>4.7300000000000004</v>
      </c>
      <c r="E105" s="13">
        <v>5.05</v>
      </c>
      <c r="F105" s="13">
        <v>4.76</v>
      </c>
    </row>
    <row r="106" spans="1:6" x14ac:dyDescent="0.25">
      <c r="A106" s="13" t="str">
        <f>Bovespa!BM110</f>
        <v>DESK3</v>
      </c>
      <c r="B106" s="13">
        <v>9.5</v>
      </c>
      <c r="C106" s="13">
        <v>9.73</v>
      </c>
      <c r="D106" s="13">
        <v>9.4600000000000009</v>
      </c>
      <c r="E106" s="13">
        <v>9.51</v>
      </c>
      <c r="F106" s="13">
        <v>9</v>
      </c>
    </row>
    <row r="107" spans="1:6" x14ac:dyDescent="0.25">
      <c r="A107" s="13" t="str">
        <f>Bovespa!BM111</f>
        <v>IGTI3</v>
      </c>
      <c r="B107" s="13">
        <v>2.65</v>
      </c>
      <c r="C107" s="13">
        <v>2.6</v>
      </c>
      <c r="D107" s="13">
        <v>2.77</v>
      </c>
      <c r="E107" s="13">
        <v>2.8</v>
      </c>
      <c r="F107" s="13">
        <v>2.64</v>
      </c>
    </row>
    <row r="108" spans="1:6" x14ac:dyDescent="0.25">
      <c r="A108" s="13" t="str">
        <f>Bovespa!BM112</f>
        <v>IGTI3</v>
      </c>
      <c r="B108" s="13">
        <v>2.65</v>
      </c>
      <c r="C108" s="13">
        <v>2.6</v>
      </c>
      <c r="D108" s="13">
        <v>2.77</v>
      </c>
      <c r="E108" s="13">
        <v>2.8</v>
      </c>
      <c r="F108" s="13">
        <v>2.64</v>
      </c>
    </row>
    <row r="109" spans="1:6" x14ac:dyDescent="0.25">
      <c r="A109" s="13" t="str">
        <f>Bovespa!BM113</f>
        <v>KEPL3</v>
      </c>
      <c r="B109" s="13">
        <v>7.56</v>
      </c>
      <c r="C109" s="13">
        <v>7.56</v>
      </c>
      <c r="D109" s="13">
        <v>7.56</v>
      </c>
      <c r="E109" s="13">
        <v>7.56</v>
      </c>
      <c r="F109" s="13">
        <v>7.56</v>
      </c>
    </row>
    <row r="110" spans="1:6" x14ac:dyDescent="0.25">
      <c r="A110" s="13" t="str">
        <f>Bovespa!BM114</f>
        <v>LREN3</v>
      </c>
      <c r="B110" s="13">
        <v>18.36</v>
      </c>
      <c r="C110" s="13">
        <v>18.559999999999999</v>
      </c>
      <c r="D110" s="13">
        <v>19.559999999999999</v>
      </c>
      <c r="E110" s="13">
        <v>19.34</v>
      </c>
      <c r="F110" s="13">
        <v>18.600000000000001</v>
      </c>
    </row>
    <row r="111" spans="1:6" x14ac:dyDescent="0.25">
      <c r="A111" s="13" t="str">
        <f>Bovespa!BM115</f>
        <v>MRFG3</v>
      </c>
      <c r="B111" s="13">
        <v>25.18</v>
      </c>
      <c r="C111" s="13">
        <v>23.32</v>
      </c>
      <c r="D111" s="13">
        <v>22.5</v>
      </c>
      <c r="E111" s="13">
        <v>22.23</v>
      </c>
      <c r="F111" s="13">
        <v>23</v>
      </c>
    </row>
    <row r="112" spans="1:6" x14ac:dyDescent="0.25">
      <c r="A112" s="13" t="str">
        <f>Bovespa!BM116</f>
        <v>JFEN3</v>
      </c>
      <c r="B112" s="13">
        <v>1.94</v>
      </c>
      <c r="C112" s="13">
        <v>1.91</v>
      </c>
      <c r="D112" s="13">
        <v>1.85</v>
      </c>
      <c r="E112" s="13">
        <v>1.83</v>
      </c>
      <c r="F112" s="13">
        <v>1.74</v>
      </c>
    </row>
    <row r="113" spans="1:6" x14ac:dyDescent="0.25">
      <c r="A113" s="13" t="str">
        <f>Bovespa!BM117</f>
        <v>USIM3</v>
      </c>
      <c r="B113" s="13">
        <v>4.76</v>
      </c>
      <c r="C113" s="13">
        <v>4.4400000000000004</v>
      </c>
      <c r="D113" s="13">
        <v>4.2</v>
      </c>
      <c r="E113" s="13">
        <v>4.45</v>
      </c>
      <c r="F113" s="13">
        <v>4.37</v>
      </c>
    </row>
    <row r="114" spans="1:6" x14ac:dyDescent="0.25">
      <c r="A114" s="13" t="str">
        <f>Bovespa!BM118</f>
        <v>CURY3</v>
      </c>
      <c r="B114" s="13">
        <v>29.09</v>
      </c>
      <c r="C114" s="13">
        <v>29.15</v>
      </c>
      <c r="D114" s="13">
        <v>29.2</v>
      </c>
      <c r="E114" s="13">
        <v>29.95</v>
      </c>
      <c r="F114" s="13">
        <v>29.75</v>
      </c>
    </row>
    <row r="115" spans="1:6" x14ac:dyDescent="0.25">
      <c r="A115" s="13" t="str">
        <f>Bovespa!BM119</f>
        <v>UGPA3</v>
      </c>
      <c r="B115" s="13">
        <v>16.989999999999998</v>
      </c>
      <c r="C115" s="13">
        <v>17.09</v>
      </c>
      <c r="D115" s="13">
        <v>16.86</v>
      </c>
      <c r="E115" s="13">
        <v>17.989999999999998</v>
      </c>
      <c r="F115" s="13">
        <v>17.100000000000001</v>
      </c>
    </row>
    <row r="116" spans="1:6" x14ac:dyDescent="0.25">
      <c r="A116" s="13" t="str">
        <f>Bovespa!BM120</f>
        <v>DXCO3</v>
      </c>
      <c r="B116" s="13">
        <v>5.55</v>
      </c>
      <c r="C116" s="13">
        <v>5.68</v>
      </c>
      <c r="D116" s="13">
        <v>5.68</v>
      </c>
      <c r="E116" s="13">
        <v>5.72</v>
      </c>
      <c r="F116" s="13">
        <v>5.35</v>
      </c>
    </row>
    <row r="117" spans="1:6" x14ac:dyDescent="0.25">
      <c r="A117" s="13" t="str">
        <f>Bovespa!BM121</f>
        <v>TEND3</v>
      </c>
      <c r="B117" s="13">
        <v>23.1</v>
      </c>
      <c r="C117" s="13">
        <v>23.68</v>
      </c>
      <c r="D117" s="13">
        <v>24.45</v>
      </c>
      <c r="E117" s="13">
        <v>24.28</v>
      </c>
      <c r="F117" s="13">
        <v>22.85</v>
      </c>
    </row>
    <row r="118" spans="1:6" x14ac:dyDescent="0.25">
      <c r="A118" s="13" t="str">
        <f>Bovespa!BM122</f>
        <v>ELET3</v>
      </c>
      <c r="B118" s="13">
        <v>41.3</v>
      </c>
      <c r="C118" s="13">
        <v>40.049999999999997</v>
      </c>
      <c r="D118" s="13">
        <v>39.700000000000003</v>
      </c>
      <c r="E118" s="13">
        <v>40.96</v>
      </c>
      <c r="F118" s="13">
        <v>39.31</v>
      </c>
    </row>
    <row r="119" spans="1:6" x14ac:dyDescent="0.25">
      <c r="A119" s="13" t="str">
        <f>Bovespa!BM123</f>
        <v>WIZC3</v>
      </c>
      <c r="B119" s="13">
        <v>7.65</v>
      </c>
      <c r="C119" s="13">
        <v>7.89</v>
      </c>
      <c r="D119" s="13">
        <v>7.72</v>
      </c>
      <c r="E119" s="13">
        <v>7.78</v>
      </c>
      <c r="F119" s="13">
        <v>7.71</v>
      </c>
    </row>
    <row r="120" spans="1:6" x14ac:dyDescent="0.25">
      <c r="A120" s="13" t="str">
        <f>Bovespa!BM124</f>
        <v>SAPR4</v>
      </c>
      <c r="B120" s="13">
        <v>7.06</v>
      </c>
      <c r="C120" s="13">
        <v>7.29</v>
      </c>
      <c r="D120" s="13">
        <v>7.5</v>
      </c>
      <c r="E120" s="13">
        <v>7.41</v>
      </c>
      <c r="F120" s="13">
        <v>7.23</v>
      </c>
    </row>
    <row r="121" spans="1:6" x14ac:dyDescent="0.25">
      <c r="A121" s="13" t="str">
        <f>Bovespa!BM125</f>
        <v>NTCO3</v>
      </c>
      <c r="B121" s="13">
        <v>10.24</v>
      </c>
      <c r="C121" s="13">
        <v>10.5</v>
      </c>
      <c r="D121" s="13">
        <v>10.87</v>
      </c>
      <c r="E121" s="13">
        <v>10.51</v>
      </c>
      <c r="F121" s="13">
        <v>9.7899999999999991</v>
      </c>
    </row>
    <row r="122" spans="1:6" x14ac:dyDescent="0.25">
      <c r="A122" s="13" t="str">
        <f>Bovespa!BM126</f>
        <v>EVEN3</v>
      </c>
      <c r="B122" s="13">
        <v>7.11</v>
      </c>
      <c r="C122" s="13">
        <v>7.33</v>
      </c>
      <c r="D122" s="13">
        <v>7.34</v>
      </c>
      <c r="E122" s="13">
        <v>7.31</v>
      </c>
      <c r="F122" s="13">
        <v>7.22</v>
      </c>
    </row>
    <row r="123" spans="1:6" x14ac:dyDescent="0.25">
      <c r="A123" s="13" t="str">
        <f>Bovespa!BM127</f>
        <v>ITUB3</v>
      </c>
      <c r="B123" s="13">
        <v>32.229999999999997</v>
      </c>
      <c r="C123" s="13">
        <v>32.49</v>
      </c>
      <c r="D123" s="13">
        <v>32.26</v>
      </c>
      <c r="E123" s="13">
        <v>33.68</v>
      </c>
      <c r="F123" s="13">
        <v>31.6</v>
      </c>
    </row>
    <row r="124" spans="1:6" x14ac:dyDescent="0.25">
      <c r="A124" s="13" t="str">
        <f>Bovespa!BM128</f>
        <v>UCAS3</v>
      </c>
      <c r="B124" s="13">
        <v>1.5</v>
      </c>
      <c r="C124" s="13">
        <v>1.49</v>
      </c>
      <c r="D124" s="13">
        <v>1.42</v>
      </c>
      <c r="E124" s="13">
        <v>1.45</v>
      </c>
      <c r="F124" s="13">
        <v>1.41</v>
      </c>
    </row>
    <row r="125" spans="1:6" x14ac:dyDescent="0.25">
      <c r="A125" s="13" t="str">
        <f>Bovespa!BM129</f>
        <v>USIM5</v>
      </c>
      <c r="B125" s="13">
        <v>4.7699999999999996</v>
      </c>
      <c r="C125" s="13">
        <v>4.4000000000000004</v>
      </c>
      <c r="D125" s="13">
        <v>4.1500000000000004</v>
      </c>
      <c r="E125" s="13">
        <v>4.47</v>
      </c>
      <c r="F125" s="13">
        <v>4.29</v>
      </c>
    </row>
    <row r="126" spans="1:6" x14ac:dyDescent="0.25">
      <c r="A126" s="13" t="str">
        <f>Bovespa!BM130</f>
        <v>JALL3</v>
      </c>
      <c r="B126" s="13">
        <v>4.08</v>
      </c>
      <c r="C126" s="13">
        <v>4.0999999999999996</v>
      </c>
      <c r="D126" s="13">
        <v>3.9</v>
      </c>
      <c r="E126" s="13">
        <v>3.89</v>
      </c>
      <c r="F126" s="13">
        <v>3.68</v>
      </c>
    </row>
    <row r="127" spans="1:6" x14ac:dyDescent="0.25">
      <c r="A127" s="13" t="str">
        <f>Bovespa!BM131</f>
        <v>BRAP4</v>
      </c>
      <c r="B127" s="13">
        <v>15.61</v>
      </c>
      <c r="C127" s="13">
        <v>15.07</v>
      </c>
      <c r="D127" s="13">
        <v>15.61</v>
      </c>
      <c r="E127" s="13">
        <v>16.489999999999998</v>
      </c>
      <c r="F127" s="13">
        <v>16.66</v>
      </c>
    </row>
    <row r="128" spans="1:6" x14ac:dyDescent="0.25">
      <c r="A128" s="13" t="str">
        <f>Bovespa!BM132</f>
        <v>CSMG3</v>
      </c>
      <c r="B128" s="13">
        <v>26.52</v>
      </c>
      <c r="C128" s="13">
        <v>27.51</v>
      </c>
      <c r="D128" s="13">
        <v>27.75</v>
      </c>
      <c r="E128" s="13">
        <v>28.64</v>
      </c>
      <c r="F128" s="13">
        <v>27.28</v>
      </c>
    </row>
    <row r="129" spans="1:6" x14ac:dyDescent="0.25">
      <c r="A129" s="13" t="str">
        <f>Bovespa!BM133</f>
        <v>RENT3</v>
      </c>
      <c r="B129" s="13">
        <v>44.02</v>
      </c>
      <c r="C129" s="13">
        <v>43.26</v>
      </c>
      <c r="D129" s="13">
        <v>40.549999999999997</v>
      </c>
      <c r="E129" s="13">
        <v>39.18</v>
      </c>
      <c r="F129" s="13">
        <v>36.659999999999997</v>
      </c>
    </row>
    <row r="130" spans="1:6" x14ac:dyDescent="0.25">
      <c r="A130" s="13" t="str">
        <f>Bovespa!BM134</f>
        <v>RAPT4</v>
      </c>
      <c r="B130" s="13">
        <v>8.65</v>
      </c>
      <c r="C130" s="13">
        <v>8.8000000000000007</v>
      </c>
      <c r="D130" s="13">
        <v>8.6199999999999992</v>
      </c>
      <c r="E130" s="13">
        <v>8.77</v>
      </c>
      <c r="F130" s="13">
        <v>8.0399999999999991</v>
      </c>
    </row>
    <row r="131" spans="1:6" x14ac:dyDescent="0.25">
      <c r="A131" s="13" t="str">
        <f>Bovespa!BM135</f>
        <v>RAPT3</v>
      </c>
      <c r="B131" s="13">
        <v>8.0299999999999994</v>
      </c>
      <c r="C131" s="13">
        <v>8.3000000000000007</v>
      </c>
      <c r="D131" s="13">
        <v>8.23</v>
      </c>
      <c r="E131" s="13">
        <v>8.27</v>
      </c>
      <c r="F131" s="13">
        <v>7.91</v>
      </c>
    </row>
    <row r="132" spans="1:6" x14ac:dyDescent="0.25">
      <c r="A132" s="13" t="str">
        <f>Bovespa!BM136</f>
        <v>MBLY3</v>
      </c>
      <c r="B132" s="13">
        <v>0.96</v>
      </c>
      <c r="C132" s="13">
        <v>0.99</v>
      </c>
      <c r="D132" s="13">
        <v>0.89</v>
      </c>
      <c r="E132" s="13">
        <v>0.88</v>
      </c>
      <c r="F132" s="13">
        <v>1.0900000000000001</v>
      </c>
    </row>
    <row r="133" spans="1:6" x14ac:dyDescent="0.25">
      <c r="A133" s="13" t="str">
        <f>Bovespa!BM137</f>
        <v>GOAU4</v>
      </c>
      <c r="B133" s="13">
        <v>9.19</v>
      </c>
      <c r="C133" s="13">
        <v>8.91</v>
      </c>
      <c r="D133" s="13">
        <v>8.82</v>
      </c>
      <c r="E133" s="13">
        <v>9.3699999999999992</v>
      </c>
      <c r="F133" s="13">
        <v>9.32</v>
      </c>
    </row>
    <row r="134" spans="1:6" x14ac:dyDescent="0.25">
      <c r="A134" s="13" t="str">
        <f>Bovespa!BM138</f>
        <v>DOHL4</v>
      </c>
      <c r="B134" s="13">
        <v>3.98</v>
      </c>
      <c r="C134" s="13">
        <v>3.83</v>
      </c>
      <c r="D134" s="13">
        <v>3.95</v>
      </c>
      <c r="E134" s="13">
        <v>4</v>
      </c>
      <c r="F134" s="13">
        <v>4.33</v>
      </c>
    </row>
    <row r="135" spans="1:6" x14ac:dyDescent="0.25">
      <c r="A135" s="13" t="str">
        <f>Bovespa!BM139</f>
        <v>BRFS3</v>
      </c>
      <c r="B135" s="13">
        <v>21</v>
      </c>
      <c r="C135" s="13">
        <v>20.79</v>
      </c>
      <c r="D135" s="13">
        <v>19.899999999999999</v>
      </c>
      <c r="E135" s="13">
        <v>19.850000000000001</v>
      </c>
      <c r="F135" s="13">
        <v>21.88</v>
      </c>
    </row>
    <row r="136" spans="1:6" x14ac:dyDescent="0.25">
      <c r="A136" s="13" t="str">
        <f>Bovespa!BM140</f>
        <v>INTB3</v>
      </c>
      <c r="B136" s="13">
        <v>14.87</v>
      </c>
      <c r="C136" s="13">
        <v>15.67</v>
      </c>
      <c r="D136" s="13">
        <v>16</v>
      </c>
      <c r="E136" s="13">
        <v>15.12</v>
      </c>
      <c r="F136" s="13">
        <v>14.28</v>
      </c>
    </row>
    <row r="137" spans="1:6" x14ac:dyDescent="0.25">
      <c r="A137" s="13" t="str">
        <f>Bovespa!BM141</f>
        <v>CBAV3</v>
      </c>
      <c r="B137" s="13">
        <v>4.3099999999999996</v>
      </c>
      <c r="C137" s="13">
        <v>4.2</v>
      </c>
      <c r="D137" s="13">
        <v>4.84</v>
      </c>
      <c r="E137" s="13">
        <v>4.8899999999999997</v>
      </c>
      <c r="F137" s="13">
        <v>4.9000000000000004</v>
      </c>
    </row>
    <row r="138" spans="1:6" x14ac:dyDescent="0.25">
      <c r="A138" s="13" t="str">
        <f>Bovespa!BM142</f>
        <v>KLBN3</v>
      </c>
      <c r="B138" s="13">
        <v>3.85</v>
      </c>
      <c r="C138" s="13">
        <v>3.63</v>
      </c>
      <c r="D138" s="13">
        <v>3.68</v>
      </c>
      <c r="E138" s="13">
        <v>3.99</v>
      </c>
      <c r="F138" s="13">
        <v>3.81</v>
      </c>
    </row>
    <row r="139" spans="1:6" x14ac:dyDescent="0.25">
      <c r="A139" s="13" t="str">
        <f>Bovespa!BM143</f>
        <v>GMAT3</v>
      </c>
      <c r="B139" s="13">
        <v>7.78</v>
      </c>
      <c r="C139" s="13">
        <v>7.73</v>
      </c>
      <c r="D139" s="13">
        <v>7.9</v>
      </c>
      <c r="E139" s="13">
        <v>8.08</v>
      </c>
      <c r="F139" s="13">
        <v>7.95</v>
      </c>
    </row>
    <row r="140" spans="1:6" x14ac:dyDescent="0.25">
      <c r="A140" s="13" t="str">
        <f>Bovespa!BM144</f>
        <v>TIMS3</v>
      </c>
      <c r="B140" s="13">
        <v>20.56</v>
      </c>
      <c r="C140" s="13">
        <v>21.52</v>
      </c>
      <c r="D140" s="13">
        <v>21.33</v>
      </c>
      <c r="E140" s="13">
        <v>22.46</v>
      </c>
      <c r="F140" s="13">
        <v>21.16</v>
      </c>
    </row>
    <row r="141" spans="1:6" x14ac:dyDescent="0.25">
      <c r="A141" s="13" t="str">
        <f>Bovespa!BM145</f>
        <v>BPAC3</v>
      </c>
      <c r="B141" s="13">
        <v>22.84</v>
      </c>
      <c r="C141" s="13">
        <v>22.61</v>
      </c>
      <c r="D141" s="13">
        <v>22.56</v>
      </c>
      <c r="E141" s="13">
        <v>23.45</v>
      </c>
      <c r="F141" s="13">
        <v>22.5</v>
      </c>
    </row>
    <row r="142" spans="1:6" x14ac:dyDescent="0.25">
      <c r="A142" s="13" t="str">
        <f>Bovespa!BM146</f>
        <v>VIVA3</v>
      </c>
      <c r="B142" s="13">
        <v>24.36</v>
      </c>
      <c r="C142" s="13">
        <v>25.47</v>
      </c>
      <c r="D142" s="13">
        <v>26.18</v>
      </c>
      <c r="E142" s="13">
        <v>27.23</v>
      </c>
      <c r="F142" s="13">
        <v>25.51</v>
      </c>
    </row>
    <row r="143" spans="1:6" x14ac:dyDescent="0.25">
      <c r="A143" s="13" t="str">
        <f>Bovespa!BM147</f>
        <v>LOGG3</v>
      </c>
      <c r="B143" s="13">
        <v>20.73</v>
      </c>
      <c r="C143" s="13">
        <v>20.73</v>
      </c>
      <c r="D143" s="13">
        <v>20.72</v>
      </c>
      <c r="E143" s="13">
        <v>20.78</v>
      </c>
      <c r="F143" s="13">
        <v>20.09</v>
      </c>
    </row>
    <row r="144" spans="1:6" x14ac:dyDescent="0.25">
      <c r="A144" s="13" t="str">
        <f>Bovespa!BM148</f>
        <v>QUAL3</v>
      </c>
      <c r="B144" s="13">
        <v>1.91</v>
      </c>
      <c r="C144" s="13">
        <v>1.77</v>
      </c>
      <c r="D144" s="13">
        <v>1.83</v>
      </c>
      <c r="E144" s="13">
        <v>1.85</v>
      </c>
      <c r="F144" s="13">
        <v>1.77</v>
      </c>
    </row>
    <row r="145" spans="1:6" x14ac:dyDescent="0.25">
      <c r="A145" s="13" t="str">
        <f>Bovespa!BM149</f>
        <v>PNVL3</v>
      </c>
      <c r="B145" s="13">
        <v>8.18</v>
      </c>
      <c r="C145" s="13">
        <v>8.9600000000000009</v>
      </c>
      <c r="D145" s="13">
        <v>9.52</v>
      </c>
      <c r="E145" s="13">
        <v>9.5399999999999991</v>
      </c>
      <c r="F145" s="13">
        <v>9.34</v>
      </c>
    </row>
    <row r="146" spans="1:6" x14ac:dyDescent="0.25">
      <c r="A146" s="13" t="str">
        <f>Bovespa!BM150</f>
        <v>CLSA3</v>
      </c>
      <c r="B146" s="13">
        <v>10.77</v>
      </c>
      <c r="C146" s="13">
        <v>10.8</v>
      </c>
      <c r="D146" s="13">
        <v>11</v>
      </c>
      <c r="E146" s="13">
        <v>11.34</v>
      </c>
      <c r="F146" s="13">
        <v>11.03</v>
      </c>
    </row>
    <row r="147" spans="1:6" x14ac:dyDescent="0.25">
      <c r="A147" s="13" t="str">
        <f>Bovespa!BM151</f>
        <v>KLBN4</v>
      </c>
      <c r="B147" s="13">
        <v>3.64</v>
      </c>
      <c r="C147" s="13">
        <v>3.5</v>
      </c>
      <c r="D147" s="13">
        <v>3.58</v>
      </c>
      <c r="E147" s="13">
        <v>3.89</v>
      </c>
      <c r="F147" s="13">
        <v>3.7</v>
      </c>
    </row>
    <row r="148" spans="1:6" x14ac:dyDescent="0.25">
      <c r="A148" s="13" t="str">
        <f>Bovespa!BM152</f>
        <v>BPAC5</v>
      </c>
      <c r="B148" s="13">
        <v>8.8000000000000007</v>
      </c>
      <c r="C148" s="13">
        <v>9</v>
      </c>
      <c r="D148" s="13">
        <v>9.39</v>
      </c>
      <c r="E148" s="13">
        <v>9.41</v>
      </c>
      <c r="F148" s="13">
        <v>8.99</v>
      </c>
    </row>
    <row r="149" spans="1:6" x14ac:dyDescent="0.25">
      <c r="A149" s="13" t="str">
        <f>Bovespa!BM153</f>
        <v>DIRR3</v>
      </c>
      <c r="B149" s="13">
        <v>39.46</v>
      </c>
      <c r="C149" s="13">
        <v>42.15</v>
      </c>
      <c r="D149" s="13">
        <v>42.44</v>
      </c>
      <c r="E149" s="13">
        <v>41.09</v>
      </c>
      <c r="F149" s="13">
        <v>39.590000000000003</v>
      </c>
    </row>
    <row r="150" spans="1:6" x14ac:dyDescent="0.25">
      <c r="A150" s="13" t="str">
        <f>Bovespa!BM154</f>
        <v>MYPK3</v>
      </c>
      <c r="B150" s="13">
        <v>13.1</v>
      </c>
      <c r="C150" s="13">
        <v>12.9</v>
      </c>
      <c r="D150" s="13">
        <v>13.36</v>
      </c>
      <c r="E150" s="13">
        <v>13.41</v>
      </c>
      <c r="F150" s="13">
        <v>13.5</v>
      </c>
    </row>
    <row r="151" spans="1:6" x14ac:dyDescent="0.25">
      <c r="A151" s="13" t="str">
        <f>Bovespa!BM155</f>
        <v>RDOR3</v>
      </c>
      <c r="B151" s="13">
        <v>35.1</v>
      </c>
      <c r="C151" s="13">
        <v>34.799999999999997</v>
      </c>
      <c r="D151" s="13">
        <v>34.9</v>
      </c>
      <c r="E151" s="13">
        <v>34.93</v>
      </c>
      <c r="F151" s="13">
        <v>33.299999999999997</v>
      </c>
    </row>
    <row r="152" spans="1:6" x14ac:dyDescent="0.25">
      <c r="A152" s="13" t="str">
        <f>Bovespa!BM156</f>
        <v>VIVT3</v>
      </c>
      <c r="B152" s="13">
        <v>29.79</v>
      </c>
      <c r="C152" s="13">
        <v>30.28</v>
      </c>
      <c r="D152" s="13">
        <v>30.4</v>
      </c>
      <c r="E152" s="13">
        <v>32.4</v>
      </c>
      <c r="F152" s="13">
        <v>32.1</v>
      </c>
    </row>
    <row r="153" spans="1:6" x14ac:dyDescent="0.25">
      <c r="A153" s="13" t="str">
        <f>Bovespa!BM157</f>
        <v>PGMN3</v>
      </c>
      <c r="B153" s="13">
        <v>3.34</v>
      </c>
      <c r="C153" s="13">
        <v>3.43</v>
      </c>
      <c r="D153" s="13">
        <v>3.43</v>
      </c>
      <c r="E153" s="13">
        <v>3.39</v>
      </c>
      <c r="F153" s="13">
        <v>3.34</v>
      </c>
    </row>
    <row r="154" spans="1:6" x14ac:dyDescent="0.25">
      <c r="A154" s="13" t="str">
        <f>Bovespa!BM158</f>
        <v>TFCO4</v>
      </c>
      <c r="B154" s="13">
        <v>14.98</v>
      </c>
      <c r="C154" s="13">
        <v>14.36</v>
      </c>
      <c r="D154" s="13">
        <v>14.55</v>
      </c>
      <c r="E154" s="13">
        <v>15.08</v>
      </c>
      <c r="F154" s="13">
        <v>14.42</v>
      </c>
    </row>
    <row r="155" spans="1:6" x14ac:dyDescent="0.25">
      <c r="A155" s="13" t="str">
        <f>Bovespa!BM159</f>
        <v>ENEV3</v>
      </c>
      <c r="B155" s="13">
        <v>13.57</v>
      </c>
      <c r="C155" s="13">
        <v>13.75</v>
      </c>
      <c r="D155" s="13">
        <v>13.51</v>
      </c>
      <c r="E155" s="13">
        <v>13.9</v>
      </c>
      <c r="F155" s="13">
        <v>13.28</v>
      </c>
    </row>
    <row r="156" spans="1:6" x14ac:dyDescent="0.25">
      <c r="A156" s="13" t="str">
        <f>Bovespa!BM160</f>
        <v>LIGT3</v>
      </c>
      <c r="B156" s="13">
        <v>7.02</v>
      </c>
      <c r="C156" s="13">
        <v>7.19</v>
      </c>
      <c r="D156" s="13">
        <v>6.83</v>
      </c>
      <c r="E156" s="13">
        <v>6.58</v>
      </c>
      <c r="F156" s="13">
        <v>5.63</v>
      </c>
    </row>
    <row r="157" spans="1:6" x14ac:dyDescent="0.25">
      <c r="A157" s="13" t="str">
        <f>Bovespa!BM161</f>
        <v>CSED3</v>
      </c>
      <c r="B157" s="13">
        <v>5.2</v>
      </c>
      <c r="C157" s="13">
        <v>5.17</v>
      </c>
      <c r="D157" s="13">
        <v>5.0999999999999996</v>
      </c>
      <c r="E157" s="13">
        <v>5.0999999999999996</v>
      </c>
      <c r="F157" s="13">
        <v>4.8</v>
      </c>
    </row>
    <row r="158" spans="1:6" x14ac:dyDescent="0.25">
      <c r="A158" s="13" t="str">
        <f>Bovespa!BM162</f>
        <v>MULT3</v>
      </c>
      <c r="B158" s="13">
        <v>25.7</v>
      </c>
      <c r="C158" s="13">
        <v>25.85</v>
      </c>
      <c r="D158" s="13">
        <v>27.04</v>
      </c>
      <c r="E158" s="13">
        <v>27.17</v>
      </c>
      <c r="F158" s="13">
        <v>25.9</v>
      </c>
    </row>
    <row r="159" spans="1:6" x14ac:dyDescent="0.25">
      <c r="A159" s="13" t="str">
        <f>Bovespa!BM163</f>
        <v>AURE3</v>
      </c>
      <c r="B159" s="13">
        <v>10.02</v>
      </c>
      <c r="C159" s="13">
        <v>9.8000000000000007</v>
      </c>
      <c r="D159" s="13">
        <v>9.98</v>
      </c>
      <c r="E159" s="13">
        <v>9.8000000000000007</v>
      </c>
      <c r="F159" s="13">
        <v>9.11</v>
      </c>
    </row>
    <row r="160" spans="1:6" x14ac:dyDescent="0.25">
      <c r="A160" s="13" t="str">
        <f>Bovespa!BM164</f>
        <v>TUPY3</v>
      </c>
      <c r="B160" s="13">
        <v>19.079999999999998</v>
      </c>
      <c r="C160" s="13">
        <v>18.190000000000001</v>
      </c>
      <c r="D160" s="13">
        <v>18.2</v>
      </c>
      <c r="E160" s="13">
        <v>18.07</v>
      </c>
      <c r="F160" s="13">
        <v>17.7</v>
      </c>
    </row>
    <row r="161" spans="1:6" x14ac:dyDescent="0.25">
      <c r="A161" s="13" t="str">
        <f>Bovespa!BM165</f>
        <v>SCAR3</v>
      </c>
      <c r="B161" s="13">
        <v>16.989999999999998</v>
      </c>
      <c r="C161" s="13">
        <v>16.93</v>
      </c>
      <c r="D161" s="13">
        <v>17.04</v>
      </c>
      <c r="E161" s="13">
        <v>17.14</v>
      </c>
      <c r="F161" s="13">
        <v>16.61</v>
      </c>
    </row>
    <row r="162" spans="1:6" x14ac:dyDescent="0.25">
      <c r="A162" s="13" t="str">
        <f>Bovespa!BM166</f>
        <v>LWSA3</v>
      </c>
      <c r="B162" s="13">
        <v>4.08</v>
      </c>
      <c r="C162" s="13">
        <v>4.13</v>
      </c>
      <c r="D162" s="13">
        <v>4.0599999999999996</v>
      </c>
      <c r="E162" s="13">
        <v>3.67</v>
      </c>
      <c r="F162" s="13">
        <v>3.75</v>
      </c>
    </row>
    <row r="163" spans="1:6" x14ac:dyDescent="0.25">
      <c r="A163" s="13" t="str">
        <f>Bovespa!BM167</f>
        <v>LPSB3</v>
      </c>
      <c r="B163" s="13">
        <v>1.65</v>
      </c>
      <c r="C163" s="13">
        <v>1.64</v>
      </c>
      <c r="D163" s="13">
        <v>1.67</v>
      </c>
      <c r="E163" s="13">
        <v>1.58</v>
      </c>
      <c r="F163" s="13">
        <v>1.38</v>
      </c>
    </row>
    <row r="164" spans="1:6" x14ac:dyDescent="0.25">
      <c r="A164" s="13" t="str">
        <f>Bovespa!BM168</f>
        <v>MTRE3</v>
      </c>
      <c r="B164" s="13">
        <v>3.99</v>
      </c>
      <c r="C164" s="13">
        <v>4</v>
      </c>
      <c r="D164" s="13">
        <v>3.87</v>
      </c>
      <c r="E164" s="13">
        <v>4.12</v>
      </c>
      <c r="F164" s="13">
        <v>4.01</v>
      </c>
    </row>
    <row r="165" spans="1:6" x14ac:dyDescent="0.25">
      <c r="A165" s="13" t="str">
        <f>Bovespa!BM169</f>
        <v>EMBR3</v>
      </c>
      <c r="B165" s="13">
        <v>66.44</v>
      </c>
      <c r="C165" s="13">
        <v>72.53</v>
      </c>
      <c r="D165" s="13">
        <v>74.64</v>
      </c>
      <c r="E165" s="13">
        <v>83.49</v>
      </c>
      <c r="F165" s="13">
        <v>74.319999999999993</v>
      </c>
    </row>
    <row r="166" spans="1:6" x14ac:dyDescent="0.25">
      <c r="A166" s="13" t="str">
        <f>Bovespa!BM170</f>
        <v>ENGI4</v>
      </c>
      <c r="B166" s="13">
        <v>8.52</v>
      </c>
      <c r="C166" s="13">
        <v>8.69</v>
      </c>
      <c r="D166" s="13">
        <v>8.86</v>
      </c>
      <c r="E166" s="13">
        <v>9.19</v>
      </c>
      <c r="F166" s="13">
        <v>8.7200000000000006</v>
      </c>
    </row>
    <row r="167" spans="1:6" x14ac:dyDescent="0.25">
      <c r="A167" s="13" t="str">
        <f>Bovespa!BM171</f>
        <v>ANIM3</v>
      </c>
      <c r="B167" s="13">
        <v>4.03</v>
      </c>
      <c r="C167" s="13">
        <v>4.0599999999999996</v>
      </c>
      <c r="D167" s="13">
        <v>4.1500000000000004</v>
      </c>
      <c r="E167" s="13">
        <v>4.4000000000000004</v>
      </c>
      <c r="F167" s="13">
        <v>3.8</v>
      </c>
    </row>
    <row r="168" spans="1:6" x14ac:dyDescent="0.25">
      <c r="A168" s="13" t="str">
        <f>Bovespa!BM172</f>
        <v>PRIO3</v>
      </c>
      <c r="B168" s="13">
        <v>43.98</v>
      </c>
      <c r="C168" s="13">
        <v>43.56</v>
      </c>
      <c r="D168" s="13">
        <v>41.87</v>
      </c>
      <c r="E168" s="13">
        <v>42.58</v>
      </c>
      <c r="F168" s="13">
        <v>42.76</v>
      </c>
    </row>
    <row r="169" spans="1:6" x14ac:dyDescent="0.25">
      <c r="A169" s="13" t="str">
        <f>Bovespa!BM173</f>
        <v>ODPV3</v>
      </c>
      <c r="B169" s="13">
        <v>10.85</v>
      </c>
      <c r="C169" s="13">
        <v>11.61</v>
      </c>
      <c r="D169" s="13">
        <v>11.61</v>
      </c>
      <c r="E169" s="13">
        <v>11.73</v>
      </c>
      <c r="F169" s="13">
        <v>11.59</v>
      </c>
    </row>
    <row r="170" spans="1:6" x14ac:dyDescent="0.25">
      <c r="A170" s="13" t="str">
        <f>Bovespa!BM174</f>
        <v>RECV3</v>
      </c>
      <c r="B170" s="13">
        <v>15.56</v>
      </c>
      <c r="C170" s="13">
        <v>15.79</v>
      </c>
      <c r="D170" s="13">
        <v>14.33</v>
      </c>
      <c r="E170" s="13">
        <v>14.69</v>
      </c>
      <c r="F170" s="13">
        <v>14.47</v>
      </c>
    </row>
    <row r="171" spans="1:6" x14ac:dyDescent="0.25">
      <c r="A171" s="13" t="str">
        <f>Bovespa!BM175</f>
        <v>MDNE3</v>
      </c>
      <c r="B171" s="13">
        <v>22.7</v>
      </c>
      <c r="C171" s="13">
        <v>21.28</v>
      </c>
      <c r="D171" s="13">
        <v>21.89</v>
      </c>
      <c r="E171" s="13">
        <v>24.2</v>
      </c>
      <c r="F171" s="13">
        <v>23.22</v>
      </c>
    </row>
    <row r="172" spans="1:6" x14ac:dyDescent="0.25">
      <c r="A172" s="13" t="str">
        <f>Bovespa!BM176</f>
        <v>RCSL4</v>
      </c>
      <c r="B172" s="13">
        <v>0.98</v>
      </c>
      <c r="C172" s="13">
        <v>1.02</v>
      </c>
      <c r="D172" s="13">
        <v>0.96</v>
      </c>
      <c r="E172" s="13">
        <v>0.94</v>
      </c>
      <c r="F172" s="13">
        <v>0.95</v>
      </c>
    </row>
    <row r="173" spans="1:6" x14ac:dyDescent="0.25">
      <c r="A173" s="13" t="str">
        <f>Bovespa!BM177</f>
        <v>TPIS3</v>
      </c>
      <c r="B173" s="13">
        <v>4</v>
      </c>
      <c r="C173" s="13">
        <v>4.0999999999999996</v>
      </c>
      <c r="D173" s="13">
        <v>3.99</v>
      </c>
      <c r="E173" s="13">
        <v>4.07</v>
      </c>
      <c r="F173" s="13">
        <v>4.03</v>
      </c>
    </row>
    <row r="174" spans="1:6" x14ac:dyDescent="0.25">
      <c r="A174" s="13" t="str">
        <f>Bovespa!BM178</f>
        <v>TASA4</v>
      </c>
      <c r="B174" s="13">
        <v>7.18</v>
      </c>
      <c r="C174" s="13">
        <v>7.13</v>
      </c>
      <c r="D174" s="13">
        <v>6.82</v>
      </c>
      <c r="E174" s="13">
        <v>6.92</v>
      </c>
      <c r="F174" s="13">
        <v>6.35</v>
      </c>
    </row>
    <row r="175" spans="1:6" x14ac:dyDescent="0.25">
      <c r="A175" s="13" t="str">
        <f>Bovespa!BM179</f>
        <v>SNSY5</v>
      </c>
      <c r="B175" s="13">
        <v>4.34</v>
      </c>
      <c r="C175" s="13">
        <v>4.4000000000000004</v>
      </c>
      <c r="D175" s="13">
        <v>4.12</v>
      </c>
      <c r="E175" s="13">
        <v>3.56</v>
      </c>
      <c r="F175" s="13">
        <v>3.51</v>
      </c>
    </row>
    <row r="176" spans="1:6" x14ac:dyDescent="0.25">
      <c r="A176" s="13" t="str">
        <f>Bovespa!BM180</f>
        <v>LAVV3</v>
      </c>
      <c r="B176" s="13">
        <v>11.84</v>
      </c>
      <c r="C176" s="13">
        <v>12.02</v>
      </c>
      <c r="D176" s="13">
        <v>12.1</v>
      </c>
      <c r="E176" s="13">
        <v>12.61</v>
      </c>
      <c r="F176" s="13">
        <v>12.65</v>
      </c>
    </row>
    <row r="177" spans="1:6" x14ac:dyDescent="0.25">
      <c r="A177" s="13" t="str">
        <f>Bovespa!BM181</f>
        <v>ALPA3</v>
      </c>
      <c r="B177" s="13">
        <v>9.18</v>
      </c>
      <c r="C177" s="13">
        <v>8.64</v>
      </c>
      <c r="D177" s="13">
        <v>8.73</v>
      </c>
      <c r="E177" s="13">
        <v>8.6</v>
      </c>
      <c r="F177" s="13">
        <v>8.09</v>
      </c>
    </row>
    <row r="178" spans="1:6" x14ac:dyDescent="0.25">
      <c r="A178" s="13" t="str">
        <f>Bovespa!BM182</f>
        <v>LVTC3</v>
      </c>
      <c r="B178" s="13">
        <v>3.86</v>
      </c>
      <c r="C178" s="13">
        <v>3.71</v>
      </c>
      <c r="D178" s="13">
        <v>3.6</v>
      </c>
      <c r="E178" s="13">
        <v>3.71</v>
      </c>
      <c r="F178" s="13">
        <v>3.5</v>
      </c>
    </row>
    <row r="179" spans="1:6" x14ac:dyDescent="0.25">
      <c r="A179" s="13" t="str">
        <f>Bovespa!BM183</f>
        <v>BEEF3</v>
      </c>
      <c r="B179" s="13">
        <v>4.8600000000000003</v>
      </c>
      <c r="C179" s="13">
        <v>4.87</v>
      </c>
      <c r="D179" s="13">
        <v>4.82</v>
      </c>
      <c r="E179" s="13">
        <v>5.17</v>
      </c>
      <c r="F179" s="13">
        <v>5.37</v>
      </c>
    </row>
    <row r="180" spans="1:6" x14ac:dyDescent="0.25">
      <c r="A180" s="13" t="str">
        <f>Bovespa!BM184</f>
        <v>ALPA4</v>
      </c>
      <c r="B180" s="13">
        <v>9.15</v>
      </c>
      <c r="C180" s="13">
        <v>9.06</v>
      </c>
      <c r="D180" s="13">
        <v>9.23</v>
      </c>
      <c r="E180" s="13">
        <v>8.94</v>
      </c>
      <c r="F180" s="13">
        <v>8.56</v>
      </c>
    </row>
    <row r="181" spans="1:6" x14ac:dyDescent="0.25">
      <c r="A181" s="13" t="str">
        <f>Bovespa!BM185</f>
        <v>MLAS3</v>
      </c>
      <c r="B181" s="13">
        <v>1.07</v>
      </c>
      <c r="C181" s="13">
        <v>1.08</v>
      </c>
      <c r="D181" s="13">
        <v>1.08</v>
      </c>
      <c r="E181" s="13">
        <v>1.07</v>
      </c>
      <c r="F181" s="13">
        <v>1.04</v>
      </c>
    </row>
    <row r="182" spans="1:6" x14ac:dyDescent="0.25">
      <c r="A182" s="13" t="str">
        <f>Bovespa!BM186</f>
        <v>EUCA4</v>
      </c>
      <c r="B182" s="13">
        <v>18.399999999999999</v>
      </c>
      <c r="C182" s="13">
        <v>18.39</v>
      </c>
      <c r="D182" s="13">
        <v>18.7</v>
      </c>
      <c r="E182" s="13">
        <v>18.760000000000002</v>
      </c>
      <c r="F182" s="13">
        <v>17.170000000000002</v>
      </c>
    </row>
    <row r="183" spans="1:6" x14ac:dyDescent="0.25">
      <c r="A183" s="13" t="str">
        <f>Bovespa!BM187</f>
        <v>B3SA3</v>
      </c>
      <c r="B183" s="13">
        <v>13.05</v>
      </c>
      <c r="C183" s="13">
        <v>13.62</v>
      </c>
      <c r="D183" s="13">
        <v>14.12</v>
      </c>
      <c r="E183" s="13">
        <v>14.71</v>
      </c>
      <c r="F183" s="13">
        <v>13.71</v>
      </c>
    </row>
    <row r="184" spans="1:6" x14ac:dyDescent="0.25">
      <c r="A184" s="13" t="str">
        <f>Bovespa!BM188</f>
        <v>KRSA3</v>
      </c>
      <c r="B184" s="13">
        <v>8.8699999999999992</v>
      </c>
      <c r="C184" s="13">
        <v>8.8699999999999992</v>
      </c>
      <c r="D184" s="13">
        <v>8.8699999999999992</v>
      </c>
      <c r="E184" s="13">
        <v>8.8699999999999992</v>
      </c>
      <c r="F184" s="13">
        <v>8.8699999999999992</v>
      </c>
    </row>
    <row r="185" spans="1:6" x14ac:dyDescent="0.25">
      <c r="A185" s="13" t="str">
        <f>Bovespa!BM189</f>
        <v>BOBR4</v>
      </c>
      <c r="B185" s="13">
        <v>1.59</v>
      </c>
      <c r="C185" s="13">
        <v>1.59</v>
      </c>
      <c r="D185" s="13">
        <v>1.58</v>
      </c>
      <c r="E185" s="13">
        <v>1.58</v>
      </c>
      <c r="F185" s="13">
        <v>1.57</v>
      </c>
    </row>
    <row r="186" spans="1:6" x14ac:dyDescent="0.25">
      <c r="A186" s="13" t="str">
        <f>Bovespa!BM190</f>
        <v>ETER3</v>
      </c>
      <c r="B186" s="13">
        <v>4.03</v>
      </c>
      <c r="C186" s="13">
        <v>4.01</v>
      </c>
      <c r="D186" s="13">
        <v>4.01</v>
      </c>
      <c r="E186" s="13">
        <v>4.07</v>
      </c>
      <c r="F186" s="13">
        <v>3.91</v>
      </c>
    </row>
    <row r="187" spans="1:6" x14ac:dyDescent="0.25">
      <c r="A187" s="13" t="str">
        <f>Bovespa!BM191</f>
        <v>ESPA3</v>
      </c>
      <c r="B187" s="13">
        <v>1.02</v>
      </c>
      <c r="C187" s="13">
        <v>1.03</v>
      </c>
      <c r="D187" s="13">
        <v>1.03</v>
      </c>
      <c r="E187" s="13">
        <v>1.1100000000000001</v>
      </c>
      <c r="F187" s="13">
        <v>1.1200000000000001</v>
      </c>
    </row>
    <row r="188" spans="1:6" x14ac:dyDescent="0.25">
      <c r="A188" s="13" t="str">
        <f>Bovespa!BM192</f>
        <v>MATD3</v>
      </c>
      <c r="B188" s="13">
        <v>4.4000000000000004</v>
      </c>
      <c r="C188" s="13">
        <v>4.7300000000000004</v>
      </c>
      <c r="D188" s="13">
        <v>4.59</v>
      </c>
      <c r="E188" s="13">
        <v>4.62</v>
      </c>
      <c r="F188" s="13">
        <v>4.58</v>
      </c>
    </row>
    <row r="189" spans="1:6" x14ac:dyDescent="0.25">
      <c r="A189" s="13" t="str">
        <f>Bovespa!BM193</f>
        <v>TRAD3</v>
      </c>
      <c r="B189" s="13">
        <v>7.2</v>
      </c>
      <c r="C189" s="13">
        <v>7.85</v>
      </c>
      <c r="D189" s="13">
        <v>7.27</v>
      </c>
      <c r="E189" s="13">
        <v>6.59</v>
      </c>
      <c r="F189" s="13">
        <v>7.39</v>
      </c>
    </row>
    <row r="190" spans="1:6" x14ac:dyDescent="0.25">
      <c r="A190" s="13" t="str">
        <f>Bovespa!BM194</f>
        <v>VULC3</v>
      </c>
      <c r="B190" s="13">
        <v>19.5</v>
      </c>
      <c r="C190" s="13">
        <v>19.7</v>
      </c>
      <c r="D190" s="13">
        <v>20.71</v>
      </c>
      <c r="E190" s="13">
        <v>21.88</v>
      </c>
      <c r="F190" s="13">
        <v>20.2</v>
      </c>
    </row>
    <row r="191" spans="1:6" x14ac:dyDescent="0.25">
      <c r="A191" s="13" t="str">
        <f>Bovespa!BM195</f>
        <v>LUPA3</v>
      </c>
      <c r="B191" s="13">
        <v>1.21</v>
      </c>
      <c r="C191" s="13">
        <v>1.2</v>
      </c>
      <c r="D191" s="13">
        <v>1.21</v>
      </c>
      <c r="E191" s="13">
        <v>1.2</v>
      </c>
      <c r="F191" s="13">
        <v>1.19</v>
      </c>
    </row>
    <row r="192" spans="1:6" x14ac:dyDescent="0.25">
      <c r="A192" s="13" t="str">
        <f>Bovespa!BM196</f>
        <v>ECOR3</v>
      </c>
      <c r="B192" s="13">
        <v>7.19</v>
      </c>
      <c r="C192" s="13">
        <v>7.49</v>
      </c>
      <c r="D192" s="13">
        <v>7.37</v>
      </c>
      <c r="E192" s="13">
        <v>7.37</v>
      </c>
      <c r="F192" s="13">
        <v>6.91</v>
      </c>
    </row>
    <row r="193" spans="1:6" x14ac:dyDescent="0.25">
      <c r="A193" s="13" t="str">
        <f>Bovespa!BM197</f>
        <v>PDGR3</v>
      </c>
      <c r="B193" s="13">
        <v>0.3</v>
      </c>
      <c r="C193" s="13">
        <v>0.27</v>
      </c>
      <c r="D193" s="13">
        <v>0.3</v>
      </c>
      <c r="E193" s="13">
        <v>0.25</v>
      </c>
      <c r="F193" s="13">
        <v>0.24</v>
      </c>
    </row>
    <row r="194" spans="1:6" x14ac:dyDescent="0.25">
      <c r="A194" s="13" t="str">
        <f>Bovespa!BM198</f>
        <v>COCE5</v>
      </c>
      <c r="B194" s="13">
        <v>25.4</v>
      </c>
      <c r="C194" s="13">
        <v>26.4</v>
      </c>
      <c r="D194" s="13">
        <v>26.17</v>
      </c>
      <c r="E194" s="13">
        <v>28.11</v>
      </c>
      <c r="F194" s="13">
        <v>26.82</v>
      </c>
    </row>
    <row r="195" spans="1:6" x14ac:dyDescent="0.25">
      <c r="A195" s="13" t="str">
        <f>Bovespa!BM199</f>
        <v>CEAB3</v>
      </c>
      <c r="B195" s="13">
        <v>16.649999999999999</v>
      </c>
      <c r="C195" s="13">
        <v>16.89</v>
      </c>
      <c r="D195" s="13">
        <v>19.940000000000001</v>
      </c>
      <c r="E195" s="13">
        <v>19.73</v>
      </c>
      <c r="F195" s="13">
        <v>17.649999999999999</v>
      </c>
    </row>
    <row r="196" spans="1:6" x14ac:dyDescent="0.25">
      <c r="A196" s="13" t="str">
        <f>Bovespa!BM200</f>
        <v>AMBP3</v>
      </c>
      <c r="B196" s="13">
        <v>169.82</v>
      </c>
      <c r="C196" s="13">
        <v>172.18</v>
      </c>
      <c r="D196" s="13">
        <v>159.75</v>
      </c>
      <c r="E196" s="13">
        <v>161.49</v>
      </c>
      <c r="F196" s="13">
        <v>162.13999999999999</v>
      </c>
    </row>
    <row r="197" spans="1:6" x14ac:dyDescent="0.25">
      <c r="A197" s="13" t="str">
        <f>Bovespa!BM201</f>
        <v>NGRD3</v>
      </c>
      <c r="B197" s="13">
        <v>26.56</v>
      </c>
      <c r="C197" s="13">
        <v>26.5</v>
      </c>
      <c r="D197" s="13">
        <v>26</v>
      </c>
      <c r="E197" s="13">
        <v>25.5</v>
      </c>
      <c r="F197" s="13">
        <v>24.48</v>
      </c>
    </row>
    <row r="198" spans="1:6" x14ac:dyDescent="0.25">
      <c r="A198" s="13" t="str">
        <f>Bovespa!BM202</f>
        <v>CAML3</v>
      </c>
      <c r="B198" s="13">
        <v>5.0599999999999996</v>
      </c>
      <c r="C198" s="13">
        <v>5.0599999999999996</v>
      </c>
      <c r="D198" s="13">
        <v>5.04</v>
      </c>
      <c r="E198" s="13">
        <v>5.31</v>
      </c>
      <c r="F198" s="13">
        <v>5.14</v>
      </c>
    </row>
    <row r="199" spans="1:6" x14ac:dyDescent="0.25">
      <c r="A199" s="13" t="str">
        <f>Bovespa!BM203</f>
        <v>TASA3</v>
      </c>
      <c r="B199" s="13">
        <v>7.75</v>
      </c>
      <c r="C199" s="13">
        <v>7.63</v>
      </c>
      <c r="D199" s="13">
        <v>7.15</v>
      </c>
      <c r="E199" s="13">
        <v>7.35</v>
      </c>
      <c r="F199" s="13">
        <v>7.12</v>
      </c>
    </row>
    <row r="200" spans="1:6" x14ac:dyDescent="0.25">
      <c r="A200" s="13" t="str">
        <f>Bovespa!BM204</f>
        <v>SBFG3</v>
      </c>
      <c r="B200" s="13">
        <v>11.8</v>
      </c>
      <c r="C200" s="13">
        <v>11.6</v>
      </c>
      <c r="D200" s="13">
        <v>11.79</v>
      </c>
      <c r="E200" s="13">
        <v>12.65</v>
      </c>
      <c r="F200" s="13">
        <v>12</v>
      </c>
    </row>
    <row r="201" spans="1:6" x14ac:dyDescent="0.25">
      <c r="A201" s="13" t="str">
        <f>Bovespa!BM205</f>
        <v>TECN3</v>
      </c>
      <c r="B201" s="13">
        <v>6.87</v>
      </c>
      <c r="C201" s="13">
        <v>6.8</v>
      </c>
      <c r="D201" s="13">
        <v>7.13</v>
      </c>
      <c r="E201" s="13">
        <v>6.6</v>
      </c>
      <c r="F201" s="13">
        <v>6.36</v>
      </c>
    </row>
    <row r="202" spans="1:6" x14ac:dyDescent="0.25">
      <c r="A202" s="13" t="str">
        <f>Bovespa!BM206</f>
        <v>SMTO3</v>
      </c>
      <c r="B202" s="13">
        <v>20.18</v>
      </c>
      <c r="C202" s="13">
        <v>19.5</v>
      </c>
      <c r="D202" s="13">
        <v>17.670000000000002</v>
      </c>
      <c r="E202" s="13">
        <v>17.850000000000001</v>
      </c>
      <c r="F202" s="13">
        <v>17.13</v>
      </c>
    </row>
    <row r="203" spans="1:6" x14ac:dyDescent="0.25">
      <c r="A203" s="13" t="str">
        <f>Bovespa!BM207</f>
        <v>RANI3</v>
      </c>
      <c r="B203" s="13">
        <v>7.56</v>
      </c>
      <c r="C203" s="13">
        <v>7.44</v>
      </c>
      <c r="D203" s="13">
        <v>7.33</v>
      </c>
      <c r="E203" s="13">
        <v>7.58</v>
      </c>
      <c r="F203" s="13">
        <v>7.3</v>
      </c>
    </row>
    <row r="204" spans="1:6" x14ac:dyDescent="0.25">
      <c r="A204" s="13" t="str">
        <f>Bovespa!BM208</f>
        <v>PETZ3</v>
      </c>
      <c r="B204" s="13">
        <v>4.16</v>
      </c>
      <c r="C204" s="13">
        <v>4.0199999999999996</v>
      </c>
      <c r="D204" s="13">
        <v>3.97</v>
      </c>
      <c r="E204" s="13">
        <v>3.86</v>
      </c>
      <c r="F204" s="13">
        <v>3.65</v>
      </c>
    </row>
    <row r="205" spans="1:6" x14ac:dyDescent="0.25">
      <c r="A205" s="13" t="str">
        <f>Bovespa!BM209</f>
        <v>TOTS3</v>
      </c>
      <c r="B205" s="13">
        <v>41.04</v>
      </c>
      <c r="C205" s="13">
        <v>40.89</v>
      </c>
      <c r="D205" s="13">
        <v>41.52</v>
      </c>
      <c r="E205" s="13">
        <v>43.11</v>
      </c>
      <c r="F205" s="13">
        <v>41.09</v>
      </c>
    </row>
    <row r="206" spans="1:6" x14ac:dyDescent="0.25">
      <c r="A206" s="13" t="str">
        <f>Bovespa!BM210</f>
        <v>YDUQ3</v>
      </c>
      <c r="B206" s="13">
        <v>16.53</v>
      </c>
      <c r="C206" s="13">
        <v>16.54</v>
      </c>
      <c r="D206" s="13">
        <v>16.18</v>
      </c>
      <c r="E206" s="13">
        <v>16.329999999999998</v>
      </c>
      <c r="F206" s="13">
        <v>13.88</v>
      </c>
    </row>
    <row r="207" spans="1:6" x14ac:dyDescent="0.25">
      <c r="A207" s="13" t="str">
        <f>Bovespa!BM211</f>
        <v>JSLG3</v>
      </c>
      <c r="B207" s="13">
        <v>6.02</v>
      </c>
      <c r="C207" s="13">
        <v>6.2</v>
      </c>
      <c r="D207" s="13">
        <v>5.85</v>
      </c>
      <c r="E207" s="13">
        <v>5.99</v>
      </c>
      <c r="F207" s="13">
        <v>5.6</v>
      </c>
    </row>
    <row r="208" spans="1:6" x14ac:dyDescent="0.25">
      <c r="A208" s="13" t="str">
        <f>Bovespa!BM212</f>
        <v>ONCO3</v>
      </c>
      <c r="B208" s="13">
        <v>4.5999999999999996</v>
      </c>
      <c r="C208" s="13">
        <v>4.5</v>
      </c>
      <c r="D208" s="13">
        <v>5.08</v>
      </c>
      <c r="E208" s="13">
        <v>4.9800000000000004</v>
      </c>
      <c r="F208" s="13">
        <v>5.36</v>
      </c>
    </row>
    <row r="209" spans="1:6" x14ac:dyDescent="0.25">
      <c r="A209" s="13" t="str">
        <f>Bovespa!BM213</f>
        <v>AALR3</v>
      </c>
      <c r="B209" s="13">
        <v>4.9800000000000004</v>
      </c>
      <c r="C209" s="13">
        <v>5</v>
      </c>
      <c r="D209" s="13">
        <v>4.92</v>
      </c>
      <c r="E209" s="13">
        <v>3.92</v>
      </c>
      <c r="F209" s="13">
        <v>4.9000000000000004</v>
      </c>
    </row>
    <row r="210" spans="1:6" x14ac:dyDescent="0.25">
      <c r="A210" s="13" t="str">
        <f>Bovespa!BM214</f>
        <v>HBOR3</v>
      </c>
      <c r="B210" s="13">
        <v>2.79</v>
      </c>
      <c r="C210" s="13">
        <v>2.76</v>
      </c>
      <c r="D210" s="13">
        <v>2.4900000000000002</v>
      </c>
      <c r="E210" s="13">
        <v>2.29</v>
      </c>
      <c r="F210" s="13">
        <v>2.23</v>
      </c>
    </row>
    <row r="211" spans="1:6" x14ac:dyDescent="0.25">
      <c r="A211" s="13" t="str">
        <f>Bovespa!BM215</f>
        <v>CRPG5</v>
      </c>
      <c r="B211" s="13">
        <v>19.14</v>
      </c>
      <c r="C211" s="13">
        <v>18.98</v>
      </c>
      <c r="D211" s="13">
        <v>17.510000000000002</v>
      </c>
      <c r="E211" s="13">
        <v>16.170000000000002</v>
      </c>
      <c r="F211" s="13">
        <v>16.059999999999999</v>
      </c>
    </row>
    <row r="212" spans="1:6" x14ac:dyDescent="0.25">
      <c r="A212" s="13" t="str">
        <f>Bovespa!BM216</f>
        <v>LOGN3</v>
      </c>
      <c r="B212" s="13">
        <v>25.51</v>
      </c>
      <c r="C212" s="13">
        <v>25.5</v>
      </c>
      <c r="D212" s="13">
        <v>25.4</v>
      </c>
      <c r="E212" s="13">
        <v>26</v>
      </c>
      <c r="F212" s="13">
        <v>25.85</v>
      </c>
    </row>
    <row r="213" spans="1:6" x14ac:dyDescent="0.25">
      <c r="A213" s="13" t="str">
        <f>Bovespa!BM217</f>
        <v>VAMO3</v>
      </c>
      <c r="B213" s="13">
        <v>4.6399999999999997</v>
      </c>
      <c r="C213" s="13">
        <v>4.4800000000000004</v>
      </c>
      <c r="D213" s="13">
        <v>4.13</v>
      </c>
      <c r="E213" s="13">
        <v>3.97</v>
      </c>
      <c r="F213" s="13">
        <v>3.91</v>
      </c>
    </row>
    <row r="214" spans="1:6" x14ac:dyDescent="0.25">
      <c r="A214" s="13" t="str">
        <f>Bovespa!BM218</f>
        <v>JHSF3</v>
      </c>
      <c r="B214" s="13">
        <v>5.23</v>
      </c>
      <c r="C214" s="13">
        <v>5.26</v>
      </c>
      <c r="D214" s="13">
        <v>5.25</v>
      </c>
      <c r="E214" s="13">
        <v>5.3</v>
      </c>
      <c r="F214" s="13">
        <v>5.23</v>
      </c>
    </row>
    <row r="215" spans="1:6" x14ac:dyDescent="0.25">
      <c r="A215" s="13" t="str">
        <f>Bovespa!BM219</f>
        <v>SIMH3</v>
      </c>
      <c r="B215" s="13">
        <v>5.52</v>
      </c>
      <c r="C215" s="13">
        <v>5.49</v>
      </c>
      <c r="D215" s="13">
        <v>5.03</v>
      </c>
      <c r="E215" s="13">
        <v>4.82</v>
      </c>
      <c r="F215" s="13">
        <v>4.4400000000000004</v>
      </c>
    </row>
    <row r="216" spans="1:6" x14ac:dyDescent="0.25">
      <c r="A216" s="13" t="str">
        <f>Bovespa!BM220</f>
        <v>GUAR3</v>
      </c>
      <c r="B216" s="13">
        <v>8.01</v>
      </c>
      <c r="C216" s="13">
        <v>8.02</v>
      </c>
      <c r="D216" s="13">
        <v>8.48</v>
      </c>
      <c r="E216" s="13">
        <v>8.83</v>
      </c>
      <c r="F216" s="13">
        <v>7.95</v>
      </c>
    </row>
    <row r="217" spans="1:6" x14ac:dyDescent="0.25">
      <c r="A217" s="13" t="str">
        <f>Bovespa!BM221</f>
        <v>SGPS3</v>
      </c>
      <c r="B217" s="13">
        <v>1.64</v>
      </c>
      <c r="C217" s="13">
        <v>1.64</v>
      </c>
      <c r="D217" s="13">
        <v>1.64</v>
      </c>
      <c r="E217" s="13">
        <v>1.64</v>
      </c>
      <c r="F217" s="13">
        <v>1.64</v>
      </c>
    </row>
    <row r="218" spans="1:6" x14ac:dyDescent="0.25">
      <c r="A218" s="13" t="str">
        <f>Bovespa!BM222</f>
        <v>COGN3</v>
      </c>
      <c r="B218" s="13">
        <v>2.79</v>
      </c>
      <c r="C218" s="13">
        <v>2.82</v>
      </c>
      <c r="D218" s="13">
        <v>2.79</v>
      </c>
      <c r="E218" s="13">
        <v>2.91</v>
      </c>
      <c r="F218" s="13">
        <v>2.65</v>
      </c>
    </row>
    <row r="219" spans="1:6" x14ac:dyDescent="0.25">
      <c r="A219" s="13" t="str">
        <f>Bovespa!BM223</f>
        <v>OIBR4</v>
      </c>
      <c r="B219" s="13">
        <v>8.9</v>
      </c>
      <c r="C219" s="13">
        <v>8.99</v>
      </c>
      <c r="D219" s="13">
        <v>9.2200000000000006</v>
      </c>
      <c r="E219" s="13">
        <v>8.5299999999999994</v>
      </c>
      <c r="F219" s="13">
        <v>8.56</v>
      </c>
    </row>
    <row r="220" spans="1:6" x14ac:dyDescent="0.25">
      <c r="A220" s="13" t="str">
        <f>Bovespa!BM224</f>
        <v>VITT3</v>
      </c>
      <c r="B220" s="13">
        <v>4.49</v>
      </c>
      <c r="C220" s="13">
        <v>4.3499999999999996</v>
      </c>
      <c r="D220" s="13">
        <v>4.8099999999999996</v>
      </c>
      <c r="E220" s="13">
        <v>4.95</v>
      </c>
      <c r="F220" s="13">
        <v>4.96</v>
      </c>
    </row>
    <row r="221" spans="1:6" x14ac:dyDescent="0.25">
      <c r="A221" s="13" t="str">
        <f>Bovespa!BM225</f>
        <v>PTBL3</v>
      </c>
      <c r="B221" s="13">
        <v>5.26</v>
      </c>
      <c r="C221" s="13">
        <v>4.79</v>
      </c>
      <c r="D221" s="13">
        <v>4.6500000000000004</v>
      </c>
      <c r="E221" s="13">
        <v>4.6399999999999997</v>
      </c>
      <c r="F221" s="13">
        <v>4.24</v>
      </c>
    </row>
    <row r="222" spans="1:6" x14ac:dyDescent="0.25">
      <c r="A222" s="13" t="str">
        <f>Bovespa!BM226</f>
        <v>VVEO3</v>
      </c>
      <c r="B222" s="13">
        <v>1.2</v>
      </c>
      <c r="C222" s="13">
        <v>1.17</v>
      </c>
      <c r="D222" s="13">
        <v>1.25</v>
      </c>
      <c r="E222" s="13">
        <v>1.18</v>
      </c>
      <c r="F222" s="13">
        <v>1.19</v>
      </c>
    </row>
    <row r="223" spans="1:6" x14ac:dyDescent="0.25">
      <c r="A223" s="13" t="str">
        <f>Bovespa!BM227</f>
        <v>HBRE3</v>
      </c>
      <c r="B223" s="13">
        <v>3.53</v>
      </c>
      <c r="C223" s="13">
        <v>3.42</v>
      </c>
      <c r="D223" s="13">
        <v>3.41</v>
      </c>
      <c r="E223" s="13">
        <v>3.38</v>
      </c>
      <c r="F223" s="13">
        <v>3.06</v>
      </c>
    </row>
    <row r="224" spans="1:6" x14ac:dyDescent="0.25">
      <c r="A224" s="13" t="str">
        <f>Bovespa!BM228</f>
        <v>RDNI3</v>
      </c>
      <c r="B224" s="13">
        <v>2.52</v>
      </c>
      <c r="C224" s="13">
        <v>2.48</v>
      </c>
      <c r="D224" s="13">
        <v>2.4700000000000002</v>
      </c>
      <c r="E224" s="13">
        <v>2.39</v>
      </c>
      <c r="F224" s="13">
        <v>2.3199999999999998</v>
      </c>
    </row>
    <row r="225" spans="1:6" x14ac:dyDescent="0.25">
      <c r="A225" s="13" t="str">
        <f>Bovespa!BM229</f>
        <v>PCAR3</v>
      </c>
      <c r="B225" s="13">
        <v>3.05</v>
      </c>
      <c r="C225" s="13">
        <v>3.05</v>
      </c>
      <c r="D225" s="13">
        <v>3.05</v>
      </c>
      <c r="E225" s="13">
        <v>3.22</v>
      </c>
      <c r="F225" s="13">
        <v>3.21</v>
      </c>
    </row>
    <row r="226" spans="1:6" x14ac:dyDescent="0.25">
      <c r="A226" s="13" t="str">
        <f>Bovespa!BM230</f>
        <v>CASH3</v>
      </c>
      <c r="B226" s="13">
        <v>7.06</v>
      </c>
      <c r="C226" s="13">
        <v>6.99</v>
      </c>
      <c r="D226" s="13">
        <v>7.06</v>
      </c>
      <c r="E226" s="13">
        <v>6.95</v>
      </c>
      <c r="F226" s="13">
        <v>7.33</v>
      </c>
    </row>
    <row r="227" spans="1:6" x14ac:dyDescent="0.25">
      <c r="A227" s="13" t="str">
        <f>Bovespa!BM231</f>
        <v>FHER3</v>
      </c>
      <c r="B227" s="13">
        <v>3.93</v>
      </c>
      <c r="C227" s="13">
        <v>4.1100000000000003</v>
      </c>
      <c r="D227" s="13">
        <v>3.83</v>
      </c>
      <c r="E227" s="13">
        <v>3.95</v>
      </c>
      <c r="F227" s="13">
        <v>4.17</v>
      </c>
    </row>
    <row r="228" spans="1:6" x14ac:dyDescent="0.25">
      <c r="A228" s="13" t="str">
        <f>Bovespa!BM232</f>
        <v>GFSA3</v>
      </c>
      <c r="B228" s="13">
        <v>1.24</v>
      </c>
      <c r="C228" s="13">
        <v>23.79</v>
      </c>
      <c r="D228" s="13">
        <v>20.46</v>
      </c>
      <c r="E228" s="13">
        <v>19.05</v>
      </c>
      <c r="F228" s="13">
        <v>19.989999999999998</v>
      </c>
    </row>
    <row r="229" spans="1:6" x14ac:dyDescent="0.25">
      <c r="A229" s="13" t="str">
        <f>Bovespa!BM233</f>
        <v>HYPE3</v>
      </c>
      <c r="B229" s="13">
        <v>27.8</v>
      </c>
      <c r="C229" s="13">
        <v>27.47</v>
      </c>
      <c r="D229" s="13">
        <v>26.85</v>
      </c>
      <c r="E229" s="13">
        <v>27.7</v>
      </c>
      <c r="F229" s="13">
        <v>27.01</v>
      </c>
    </row>
    <row r="230" spans="1:6" x14ac:dyDescent="0.25">
      <c r="A230" s="13" t="str">
        <f>Bovespa!BM234</f>
        <v>ENJU3</v>
      </c>
      <c r="B230" s="13">
        <v>1.2</v>
      </c>
      <c r="C230" s="13">
        <v>1.1499999999999999</v>
      </c>
      <c r="D230" s="13">
        <v>1.17</v>
      </c>
      <c r="E230" s="13">
        <v>1.1299999999999999</v>
      </c>
      <c r="F230" s="13">
        <v>1.0900000000000001</v>
      </c>
    </row>
    <row r="231" spans="1:6" x14ac:dyDescent="0.25">
      <c r="A231" s="13" t="str">
        <f>Bovespa!BM235</f>
        <v>RAIZ4</v>
      </c>
      <c r="B231" s="13">
        <v>1.83</v>
      </c>
      <c r="C231" s="13">
        <v>1.72</v>
      </c>
      <c r="D231" s="13">
        <v>1.63</v>
      </c>
      <c r="E231" s="13">
        <v>1.71</v>
      </c>
      <c r="F231" s="13">
        <v>1.54</v>
      </c>
    </row>
    <row r="232" spans="1:6" x14ac:dyDescent="0.25">
      <c r="A232" s="13" t="str">
        <f>Bovespa!BM236</f>
        <v>BBAS3</v>
      </c>
      <c r="B232" s="13">
        <v>21.59</v>
      </c>
      <c r="C232" s="13">
        <v>21.35</v>
      </c>
      <c r="D232" s="13">
        <v>21.73</v>
      </c>
      <c r="E232" s="13">
        <v>22.43</v>
      </c>
      <c r="F232" s="13">
        <v>21.2</v>
      </c>
    </row>
    <row r="233" spans="1:6" x14ac:dyDescent="0.25">
      <c r="A233" s="13" t="str">
        <f>Bovespa!BM237</f>
        <v>EPAR3</v>
      </c>
      <c r="B233" s="13">
        <v>4.91</v>
      </c>
      <c r="C233" s="13">
        <v>5.05</v>
      </c>
      <c r="D233" s="13">
        <v>4.9000000000000004</v>
      </c>
      <c r="E233" s="13">
        <v>4.96</v>
      </c>
      <c r="F233" s="13">
        <v>4.9000000000000004</v>
      </c>
    </row>
    <row r="234" spans="1:6" x14ac:dyDescent="0.25">
      <c r="A234" s="13" t="str">
        <f>Bovespa!BM238</f>
        <v>SYNE3</v>
      </c>
      <c r="B234" s="13">
        <v>5.67</v>
      </c>
      <c r="C234" s="13">
        <v>6.07</v>
      </c>
      <c r="D234" s="13">
        <v>6.4</v>
      </c>
      <c r="E234" s="13">
        <v>6.06</v>
      </c>
      <c r="F234" s="13">
        <v>6.04</v>
      </c>
    </row>
    <row r="235" spans="1:6" x14ac:dyDescent="0.25">
      <c r="A235" s="13" t="str">
        <f>Bovespa!BM239</f>
        <v>MRVE3</v>
      </c>
      <c r="B235" s="13">
        <v>5.76</v>
      </c>
      <c r="C235" s="13">
        <v>5.86</v>
      </c>
      <c r="D235" s="13">
        <v>5.92</v>
      </c>
      <c r="E235" s="13">
        <v>6.29</v>
      </c>
      <c r="F235" s="13">
        <v>6.12</v>
      </c>
    </row>
    <row r="236" spans="1:6" x14ac:dyDescent="0.25">
      <c r="A236" s="13" t="str">
        <f>Bovespa!BM240</f>
        <v>MOVI3</v>
      </c>
      <c r="B236" s="13">
        <v>7.72</v>
      </c>
      <c r="C236" s="13">
        <v>8.27</v>
      </c>
      <c r="D236" s="13">
        <v>7.11</v>
      </c>
      <c r="E236" s="13">
        <v>6.84</v>
      </c>
      <c r="F236" s="13">
        <v>6.25</v>
      </c>
    </row>
    <row r="237" spans="1:6" x14ac:dyDescent="0.25">
      <c r="A237" s="13" t="str">
        <f>Bovespa!BM241</f>
        <v>AZEV4</v>
      </c>
      <c r="B237" s="13">
        <v>0.69</v>
      </c>
      <c r="C237" s="13">
        <v>0.63</v>
      </c>
      <c r="D237" s="13">
        <v>0.59</v>
      </c>
      <c r="E237" s="13">
        <v>0.54</v>
      </c>
      <c r="F237" s="13">
        <v>0.64</v>
      </c>
    </row>
    <row r="238" spans="1:6" x14ac:dyDescent="0.25">
      <c r="A238" s="13" t="str">
        <f>Bovespa!BM242</f>
        <v>CSNA3</v>
      </c>
      <c r="B238" s="13">
        <v>7.94</v>
      </c>
      <c r="C238" s="13">
        <v>7.87</v>
      </c>
      <c r="D238" s="13">
        <v>7.5</v>
      </c>
      <c r="E238" s="13">
        <v>8.2100000000000009</v>
      </c>
      <c r="F238" s="13">
        <v>8.24</v>
      </c>
    </row>
    <row r="239" spans="1:6" x14ac:dyDescent="0.25">
      <c r="A239" s="13" t="str">
        <f>Bovespa!BM243</f>
        <v>CTNM4</v>
      </c>
      <c r="B239" s="13">
        <v>0.86</v>
      </c>
      <c r="C239" s="13">
        <v>0.86</v>
      </c>
      <c r="D239" s="13">
        <v>0.86</v>
      </c>
      <c r="E239" s="13">
        <v>0.86</v>
      </c>
      <c r="F239" s="13">
        <v>0.86</v>
      </c>
    </row>
    <row r="240" spans="1:6" x14ac:dyDescent="0.25">
      <c r="A240" s="13" t="str">
        <f>Bovespa!BM244</f>
        <v>IFCM3</v>
      </c>
      <c r="B240" s="13">
        <v>7.0000000000000007E-2</v>
      </c>
      <c r="C240" s="13">
        <v>0.05</v>
      </c>
      <c r="D240" s="13">
        <v>0.05</v>
      </c>
      <c r="E240" s="13">
        <v>0.05</v>
      </c>
      <c r="F240" s="13">
        <v>0.05</v>
      </c>
    </row>
    <row r="241" spans="1:6" x14ac:dyDescent="0.25">
      <c r="A241" s="13" t="str">
        <f>Bovespa!BM245</f>
        <v>HAPV3</v>
      </c>
      <c r="B241" s="13">
        <v>38.49</v>
      </c>
      <c r="C241" s="13">
        <v>37.42</v>
      </c>
      <c r="D241" s="13">
        <v>36.270000000000003</v>
      </c>
      <c r="E241" s="13">
        <v>35.61</v>
      </c>
      <c r="F241" s="13">
        <v>32.32</v>
      </c>
    </row>
    <row r="242" spans="1:6" x14ac:dyDescent="0.25">
      <c r="A242" s="13" t="str">
        <f>Bovespa!BM246</f>
        <v>SEQL3</v>
      </c>
      <c r="B242" s="13">
        <v>1.57</v>
      </c>
      <c r="C242" s="13">
        <v>1.2</v>
      </c>
      <c r="D242" s="13">
        <v>0.95</v>
      </c>
      <c r="E242" s="13">
        <v>1.1200000000000001</v>
      </c>
      <c r="F242" s="13">
        <v>1.08</v>
      </c>
    </row>
    <row r="243" spans="1:6" x14ac:dyDescent="0.25">
      <c r="A243" s="13" t="str">
        <f>Bovespa!BM247</f>
        <v>ZAMP3</v>
      </c>
      <c r="B243" s="13">
        <v>3.47</v>
      </c>
      <c r="C243" s="13">
        <v>3.41</v>
      </c>
      <c r="D243" s="13">
        <v>3.43</v>
      </c>
      <c r="E243" s="13">
        <v>3.4</v>
      </c>
      <c r="F243" s="13">
        <v>3.38</v>
      </c>
    </row>
    <row r="244" spans="1:6" x14ac:dyDescent="0.25">
      <c r="A244" s="13" t="str">
        <f>Bovespa!BM248</f>
        <v>INEP4</v>
      </c>
      <c r="B244" s="13">
        <v>1.75</v>
      </c>
      <c r="C244" s="13">
        <v>1.68</v>
      </c>
      <c r="D244" s="13">
        <v>1.64</v>
      </c>
      <c r="E244" s="13">
        <v>1.69</v>
      </c>
      <c r="F244" s="13">
        <v>1.65</v>
      </c>
    </row>
    <row r="245" spans="1:6" x14ac:dyDescent="0.25">
      <c r="A245" s="13" t="str">
        <f>Bovespa!BM249</f>
        <v>OIBR3</v>
      </c>
      <c r="B245" s="13">
        <v>0.71</v>
      </c>
      <c r="C245" s="13">
        <v>0.63</v>
      </c>
      <c r="D245" s="13">
        <v>0.64</v>
      </c>
      <c r="E245" s="13">
        <v>0.63</v>
      </c>
      <c r="F245" s="13">
        <v>0.56999999999999995</v>
      </c>
    </row>
    <row r="246" spans="1:6" x14ac:dyDescent="0.25">
      <c r="A246" s="13" t="str">
        <f>Bovespa!BM250</f>
        <v>CSAN3</v>
      </c>
      <c r="B246" s="13">
        <v>8.1199999999999992</v>
      </c>
      <c r="C246" s="13">
        <v>7.28</v>
      </c>
      <c r="D246" s="13">
        <v>6.74</v>
      </c>
      <c r="E246" s="13">
        <v>7.14</v>
      </c>
      <c r="F246" s="13">
        <v>6.38</v>
      </c>
    </row>
    <row r="247" spans="1:6" x14ac:dyDescent="0.25">
      <c r="A247" s="13" t="str">
        <f>Bovespa!BM251</f>
        <v>BRKM3</v>
      </c>
      <c r="B247" s="13">
        <v>11.01</v>
      </c>
      <c r="C247" s="13">
        <v>10.4</v>
      </c>
      <c r="D247" s="13">
        <v>9.5</v>
      </c>
      <c r="E247" s="13">
        <v>9.8000000000000007</v>
      </c>
      <c r="F247" s="13">
        <v>10.02</v>
      </c>
    </row>
    <row r="248" spans="1:6" x14ac:dyDescent="0.25">
      <c r="A248" s="13" t="str">
        <f>Bovespa!BM252</f>
        <v>SHOW3</v>
      </c>
      <c r="B248" s="13">
        <v>6.5</v>
      </c>
      <c r="C248" s="13">
        <v>6.7</v>
      </c>
      <c r="D248" s="13">
        <v>6.44</v>
      </c>
      <c r="E248" s="13">
        <v>6.74</v>
      </c>
      <c r="F248" s="13">
        <v>6.44</v>
      </c>
    </row>
    <row r="249" spans="1:6" x14ac:dyDescent="0.25">
      <c r="A249" s="13" t="str">
        <f>Bovespa!BM253</f>
        <v>AZEV3</v>
      </c>
      <c r="B249" s="13">
        <v>0.5</v>
      </c>
      <c r="C249" s="13">
        <v>0.46</v>
      </c>
      <c r="D249" s="13">
        <v>0.46</v>
      </c>
      <c r="E249" s="13">
        <v>0.46</v>
      </c>
      <c r="F249" s="13">
        <v>0.61</v>
      </c>
    </row>
    <row r="250" spans="1:6" x14ac:dyDescent="0.25">
      <c r="A250" s="13" t="str">
        <f>Bovespa!BM254</f>
        <v>GOLL4</v>
      </c>
      <c r="B250" s="13">
        <v>701</v>
      </c>
      <c r="C250" s="13">
        <v>162.16</v>
      </c>
      <c r="D250" s="13">
        <v>118</v>
      </c>
      <c r="E250" s="13">
        <v>151.31</v>
      </c>
      <c r="F250" s="13">
        <v>40.380000000000003</v>
      </c>
    </row>
    <row r="251" spans="1:6" x14ac:dyDescent="0.25">
      <c r="A251" s="13" t="str">
        <f>Bovespa!BM255</f>
        <v>SEER3</v>
      </c>
      <c r="B251" s="13">
        <v>10.38</v>
      </c>
      <c r="C251" s="13">
        <v>10.119999999999999</v>
      </c>
      <c r="D251" s="13">
        <v>9.01</v>
      </c>
      <c r="E251" s="13">
        <v>9.42</v>
      </c>
      <c r="F251" s="13">
        <v>8.69</v>
      </c>
    </row>
    <row r="252" spans="1:6" x14ac:dyDescent="0.25">
      <c r="A252" s="13" t="str">
        <f>Bovespa!BM256</f>
        <v>FESA4</v>
      </c>
      <c r="B252" s="13">
        <v>7.02</v>
      </c>
      <c r="C252" s="13">
        <v>6.79</v>
      </c>
      <c r="D252" s="13">
        <v>6.8</v>
      </c>
      <c r="E252" s="13">
        <v>6.94</v>
      </c>
      <c r="F252" s="13">
        <v>6.83</v>
      </c>
    </row>
    <row r="253" spans="1:6" x14ac:dyDescent="0.25">
      <c r="A253" s="13" t="str">
        <f>Bovespa!BM257</f>
        <v>LJQQ3</v>
      </c>
      <c r="B253" s="13">
        <v>2.5099999999999998</v>
      </c>
      <c r="C253" s="13">
        <v>2.5299999999999998</v>
      </c>
      <c r="D253" s="13">
        <v>2.54</v>
      </c>
      <c r="E253" s="13">
        <v>2.6</v>
      </c>
      <c r="F253" s="13">
        <v>2.39</v>
      </c>
    </row>
    <row r="254" spans="1:6" x14ac:dyDescent="0.25">
      <c r="A254" s="13" t="str">
        <f>Bovespa!BM258</f>
        <v>VIVR3</v>
      </c>
      <c r="B254" s="13">
        <v>0.88</v>
      </c>
      <c r="C254" s="13">
        <v>0.88</v>
      </c>
      <c r="D254" s="13">
        <v>0.87</v>
      </c>
      <c r="E254" s="13">
        <v>0.88</v>
      </c>
      <c r="F254" s="13">
        <v>0.85</v>
      </c>
    </row>
    <row r="255" spans="1:6" x14ac:dyDescent="0.25">
      <c r="A255" s="13" t="str">
        <f>Bovespa!BM259</f>
        <v>DASA3</v>
      </c>
      <c r="B255" s="13">
        <v>1.5</v>
      </c>
      <c r="C255" s="13">
        <v>1.33</v>
      </c>
      <c r="D255" s="13">
        <v>1.29</v>
      </c>
      <c r="E255" s="13">
        <v>1.37</v>
      </c>
      <c r="F255" s="13">
        <v>1.31</v>
      </c>
    </row>
    <row r="256" spans="1:6" x14ac:dyDescent="0.25">
      <c r="A256" s="13" t="str">
        <f>Bovespa!BM260</f>
        <v>RSID3</v>
      </c>
      <c r="B256" s="13">
        <v>2.14</v>
      </c>
      <c r="C256" s="13">
        <v>2.09</v>
      </c>
      <c r="D256" s="13">
        <v>2.04</v>
      </c>
      <c r="E256" s="13">
        <v>2.06</v>
      </c>
      <c r="F256" s="13">
        <v>2.06</v>
      </c>
    </row>
    <row r="257" spans="1:6" x14ac:dyDescent="0.25">
      <c r="A257" s="13" t="str">
        <f>Bovespa!BM261</f>
        <v>TCSA3</v>
      </c>
      <c r="B257" s="13">
        <v>1.18</v>
      </c>
      <c r="C257" s="13">
        <v>1.17</v>
      </c>
      <c r="D257" s="13">
        <v>1.22</v>
      </c>
      <c r="E257" s="13">
        <v>1.61</v>
      </c>
      <c r="F257" s="13">
        <v>1.94</v>
      </c>
    </row>
    <row r="258" spans="1:6" x14ac:dyDescent="0.25">
      <c r="A258" s="13" t="str">
        <f>Bovespa!BM262</f>
        <v>AZUL4</v>
      </c>
      <c r="B258" s="13">
        <v>0.99</v>
      </c>
      <c r="C258" s="13">
        <v>0.98</v>
      </c>
      <c r="D258" s="13">
        <v>0.94</v>
      </c>
      <c r="E258" s="13">
        <v>0.93</v>
      </c>
      <c r="F258" s="13">
        <v>0.8</v>
      </c>
    </row>
    <row r="259" spans="1:6" x14ac:dyDescent="0.25">
      <c r="A259" s="13" t="str">
        <f>Bovespa!BM263</f>
        <v>DOTZ3</v>
      </c>
      <c r="B259" s="13">
        <v>7.76</v>
      </c>
      <c r="C259" s="13">
        <v>7.36</v>
      </c>
      <c r="D259" s="13">
        <v>7.01</v>
      </c>
      <c r="E259" s="13">
        <v>6.62</v>
      </c>
      <c r="F259" s="13">
        <v>5.16</v>
      </c>
    </row>
    <row r="260" spans="1:6" x14ac:dyDescent="0.25">
      <c r="A260" s="13" t="str">
        <f>Bovespa!BM264</f>
        <v>PMAM3</v>
      </c>
      <c r="B260" s="13">
        <v>1.92</v>
      </c>
      <c r="C260" s="13">
        <v>1.88</v>
      </c>
      <c r="D260" s="13">
        <v>1.82</v>
      </c>
      <c r="E260" s="13">
        <v>1.7</v>
      </c>
      <c r="F260" s="13">
        <v>1.67</v>
      </c>
    </row>
    <row r="261" spans="1:6" x14ac:dyDescent="0.25">
      <c r="A261" s="13" t="str">
        <f>Bovespa!BM265</f>
        <v>VSTE3</v>
      </c>
      <c r="B261" s="13">
        <v>6.01</v>
      </c>
      <c r="C261" s="13">
        <v>5.91</v>
      </c>
      <c r="D261" s="13">
        <v>6.07</v>
      </c>
      <c r="E261" s="13">
        <v>6.07</v>
      </c>
      <c r="F261" s="13">
        <v>6.07</v>
      </c>
    </row>
    <row r="262" spans="1:6" x14ac:dyDescent="0.25">
      <c r="A262" s="13" t="str">
        <f>Bovespa!BM266</f>
        <v>MGEL4</v>
      </c>
      <c r="B262" s="13">
        <v>5.08</v>
      </c>
      <c r="C262" s="13">
        <v>4.53</v>
      </c>
      <c r="D262" s="13">
        <v>4.03</v>
      </c>
      <c r="E262" s="13">
        <v>3.99</v>
      </c>
      <c r="F262" s="13">
        <v>4.05</v>
      </c>
    </row>
    <row r="263" spans="1:6" x14ac:dyDescent="0.25">
      <c r="A263" s="13" t="str">
        <f>Bovespa!BM267</f>
        <v>RCSL3</v>
      </c>
      <c r="B263" s="13">
        <v>2.5</v>
      </c>
      <c r="C263" s="13">
        <v>2.41</v>
      </c>
      <c r="D263" s="13">
        <v>2.33</v>
      </c>
      <c r="E263" s="13">
        <v>2.2999999999999998</v>
      </c>
      <c r="F263" s="13">
        <v>2.12</v>
      </c>
    </row>
    <row r="264" spans="1:6" x14ac:dyDescent="0.25">
      <c r="A264" s="13" t="str">
        <f>Bovespa!BM268</f>
        <v>ARML3</v>
      </c>
      <c r="B264" s="13">
        <v>5</v>
      </c>
      <c r="C264" s="13">
        <v>4</v>
      </c>
      <c r="D264" s="13">
        <v>3.64</v>
      </c>
      <c r="E264" s="13">
        <v>3.76</v>
      </c>
      <c r="F264" s="13">
        <v>4.03</v>
      </c>
    </row>
    <row r="265" spans="1:6" x14ac:dyDescent="0.25">
      <c r="A265" s="13" t="str">
        <f>Bovespa!BM269</f>
        <v>ATMP3</v>
      </c>
      <c r="B265" s="13">
        <v>1.19</v>
      </c>
      <c r="C265" s="13">
        <v>1.18</v>
      </c>
      <c r="D265" s="13">
        <v>1.17</v>
      </c>
      <c r="E265" s="13">
        <v>1.19</v>
      </c>
      <c r="F265" s="13">
        <v>1.1200000000000001</v>
      </c>
    </row>
    <row r="266" spans="1:6" x14ac:dyDescent="0.25">
      <c r="A266" s="13" t="str">
        <f>Bovespa!BM270</f>
        <v>CIEL3</v>
      </c>
      <c r="B266" s="13" t="e" vm="152">
        <v>#VALUE!</v>
      </c>
      <c r="C266" s="13" t="e" vm="152">
        <v>#VALUE!</v>
      </c>
      <c r="D266" s="13" t="e" vm="152">
        <v>#VALUE!</v>
      </c>
      <c r="E266" s="13" t="e" vm="272">
        <v>#VALUE!</v>
      </c>
      <c r="F266" s="13" t="e" vm="272">
        <v>#VALUE!</v>
      </c>
    </row>
    <row r="267" spans="1:6" x14ac:dyDescent="0.25">
      <c r="A267" s="13" t="str">
        <f>Bovespa!BM271</f>
        <v>TAEE3</v>
      </c>
      <c r="B267" s="13">
        <v>11.34</v>
      </c>
      <c r="C267" s="13">
        <v>11.41</v>
      </c>
      <c r="D267" s="13">
        <v>11.44</v>
      </c>
      <c r="E267" s="13">
        <v>11.62</v>
      </c>
      <c r="F267" s="13">
        <v>11.3</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1669B-CF8B-4025-8A60-C73FAEB0AFC8}">
  <dimension ref="A1:F7"/>
  <sheetViews>
    <sheetView tabSelected="1" workbookViewId="0">
      <selection activeCell="E9" sqref="E9"/>
    </sheetView>
  </sheetViews>
  <sheetFormatPr defaultRowHeight="15" x14ac:dyDescent="0.25"/>
  <cols>
    <col min="2" max="5" width="11" bestFit="1" customWidth="1"/>
    <col min="6" max="6" width="10.7109375" bestFit="1" customWidth="1"/>
  </cols>
  <sheetData>
    <row r="1" spans="1:6" x14ac:dyDescent="0.25">
      <c r="A1" t="s">
        <v>477</v>
      </c>
      <c r="B1" s="79">
        <v>45822</v>
      </c>
      <c r="C1" s="79">
        <v>45829</v>
      </c>
      <c r="D1" s="79">
        <v>45836</v>
      </c>
      <c r="E1" s="79">
        <v>45843</v>
      </c>
      <c r="F1" s="79">
        <v>45849</v>
      </c>
    </row>
    <row r="2" spans="1:6" ht="16.5" x14ac:dyDescent="0.3">
      <c r="A2" t="s">
        <v>507</v>
      </c>
      <c r="B2" s="90">
        <v>106090</v>
      </c>
      <c r="C2" s="90">
        <v>103380</v>
      </c>
      <c r="D2" s="90">
        <v>107100</v>
      </c>
      <c r="E2" s="90">
        <v>108200</v>
      </c>
      <c r="F2" s="90">
        <v>117516.99</v>
      </c>
    </row>
    <row r="3" spans="1:6" ht="16.5" x14ac:dyDescent="0.3">
      <c r="A3" t="s">
        <v>508</v>
      </c>
      <c r="B3" s="90">
        <v>2579.4899999999998</v>
      </c>
      <c r="C3" s="90">
        <v>2407.3000000000002</v>
      </c>
      <c r="D3" s="90">
        <v>2423.87</v>
      </c>
      <c r="E3" s="90">
        <v>2508.52</v>
      </c>
      <c r="F3" s="90">
        <v>2957.88</v>
      </c>
    </row>
    <row r="4" spans="1:6" ht="16.5" x14ac:dyDescent="0.3">
      <c r="A4" t="s">
        <v>583</v>
      </c>
      <c r="B4" s="90">
        <v>144.649</v>
      </c>
      <c r="C4" s="90">
        <v>135.43</v>
      </c>
      <c r="D4" s="90">
        <v>150.72300000000001</v>
      </c>
      <c r="E4" s="90">
        <v>147.56</v>
      </c>
      <c r="F4" s="90">
        <v>162.88</v>
      </c>
    </row>
    <row r="5" spans="1:6" ht="16.5" x14ac:dyDescent="0.3">
      <c r="A5" t="s">
        <v>659</v>
      </c>
      <c r="B5" s="90">
        <v>645.5</v>
      </c>
      <c r="C5" s="90">
        <v>629</v>
      </c>
      <c r="D5" s="90">
        <v>648.4</v>
      </c>
      <c r="E5" s="90">
        <v>656</v>
      </c>
      <c r="F5" s="90">
        <v>685.7</v>
      </c>
    </row>
    <row r="6" spans="1:6" ht="16.5" x14ac:dyDescent="0.3">
      <c r="A6" t="s">
        <v>660</v>
      </c>
      <c r="B6" s="90">
        <v>0.62470000000000003</v>
      </c>
      <c r="C6" s="90">
        <v>0.55579999999999996</v>
      </c>
      <c r="D6" s="90">
        <v>0.56540000000000001</v>
      </c>
      <c r="E6" s="90">
        <v>0.57550000000000001</v>
      </c>
      <c r="F6" s="90">
        <v>0.70860000000000001</v>
      </c>
    </row>
    <row r="7" spans="1:6" ht="16.5" x14ac:dyDescent="0.3">
      <c r="A7" t="s">
        <v>661</v>
      </c>
      <c r="B7" s="90">
        <v>2.1396000000000002</v>
      </c>
      <c r="C7" s="90">
        <v>2.0636000000000001</v>
      </c>
      <c r="D7" s="90">
        <v>2.1857000000000002</v>
      </c>
      <c r="E7" s="90">
        <v>2.2179000000000002</v>
      </c>
      <c r="F7" s="90">
        <v>2.7376</v>
      </c>
    </row>
  </sheetData>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141DC-94A9-46E0-9EEA-040A97715940}">
  <dimension ref="A1:F56"/>
  <sheetViews>
    <sheetView workbookViewId="0">
      <selection activeCell="G4" sqref="G4"/>
    </sheetView>
  </sheetViews>
  <sheetFormatPr defaultRowHeight="15" x14ac:dyDescent="0.25"/>
  <cols>
    <col min="1" max="1" width="15" customWidth="1"/>
    <col min="2" max="5" width="10.7109375" bestFit="1" customWidth="1"/>
    <col min="6" max="6" width="10.7109375" customWidth="1"/>
  </cols>
  <sheetData>
    <row r="1" spans="1:6" x14ac:dyDescent="0.25">
      <c r="A1" t="s">
        <v>477</v>
      </c>
      <c r="B1" s="79">
        <v>45822</v>
      </c>
      <c r="C1" s="79">
        <v>45829</v>
      </c>
      <c r="D1" s="79">
        <v>45836</v>
      </c>
      <c r="E1" s="79">
        <v>45843</v>
      </c>
      <c r="F1" s="79">
        <v>45849</v>
      </c>
    </row>
    <row r="2" spans="1:6" ht="16.5" x14ac:dyDescent="0.3">
      <c r="A2" t="s">
        <v>509</v>
      </c>
      <c r="B2" s="90">
        <v>14.489999771118161</v>
      </c>
      <c r="C2" s="90">
        <v>14.310000419616699</v>
      </c>
      <c r="D2" s="90">
        <v>14.72000026702881</v>
      </c>
      <c r="E2" s="90">
        <v>14.72999954223633</v>
      </c>
      <c r="F2" s="90" t="s">
        <v>588</v>
      </c>
    </row>
    <row r="3" spans="1:6" ht="16.5" x14ac:dyDescent="0.3">
      <c r="A3" t="s">
        <v>510</v>
      </c>
      <c r="B3" s="90">
        <v>47.819999694824219</v>
      </c>
      <c r="C3" s="90">
        <v>46.540000915527337</v>
      </c>
      <c r="D3" s="90">
        <v>45.549999237060547</v>
      </c>
      <c r="E3" s="90">
        <v>46.490001678466797</v>
      </c>
      <c r="F3" s="90" t="s">
        <v>589</v>
      </c>
    </row>
    <row r="4" spans="1:6" ht="16.5" x14ac:dyDescent="0.3">
      <c r="A4" t="s">
        <v>511</v>
      </c>
      <c r="B4" s="90">
        <v>41.580001831054688</v>
      </c>
      <c r="C4" s="90">
        <v>41.270000457763672</v>
      </c>
      <c r="D4" s="90">
        <v>40.639999389648438</v>
      </c>
      <c r="E4" s="90">
        <v>41.159999847412109</v>
      </c>
      <c r="F4" s="90" t="s">
        <v>590</v>
      </c>
    </row>
    <row r="5" spans="1:6" ht="16.5" x14ac:dyDescent="0.3">
      <c r="A5" t="s">
        <v>512</v>
      </c>
      <c r="B5" s="90">
        <v>71.800003051757813</v>
      </c>
      <c r="C5" s="90">
        <v>71.669998168945313</v>
      </c>
      <c r="D5" s="90">
        <v>71.510002136230469</v>
      </c>
      <c r="E5" s="90">
        <v>73.900001525878906</v>
      </c>
      <c r="F5" s="90" t="s">
        <v>591</v>
      </c>
    </row>
    <row r="6" spans="1:6" ht="16.5" x14ac:dyDescent="0.3">
      <c r="A6" t="s">
        <v>513</v>
      </c>
      <c r="B6" s="90">
        <v>110.86000061035161</v>
      </c>
      <c r="C6" s="90">
        <v>112.1600036621094</v>
      </c>
      <c r="D6" s="90">
        <v>112.15000152587891</v>
      </c>
      <c r="E6" s="90">
        <v>115.9700012207031</v>
      </c>
      <c r="F6" s="90" t="s">
        <v>592</v>
      </c>
    </row>
    <row r="7" spans="1:6" ht="16.5" x14ac:dyDescent="0.3">
      <c r="A7" t="s">
        <v>514</v>
      </c>
      <c r="B7" s="90">
        <v>134.42999267578119</v>
      </c>
      <c r="C7" s="90">
        <v>134.4100036621094</v>
      </c>
      <c r="D7" s="90">
        <v>134.66999816894531</v>
      </c>
      <c r="E7" s="90">
        <v>136.8500061035156</v>
      </c>
      <c r="F7" s="90" t="s">
        <v>593</v>
      </c>
    </row>
    <row r="8" spans="1:6" ht="16.5" x14ac:dyDescent="0.3">
      <c r="A8" t="s">
        <v>515</v>
      </c>
      <c r="B8" s="90">
        <v>118.8399963378906</v>
      </c>
      <c r="C8" s="90">
        <v>119.40000152587891</v>
      </c>
      <c r="D8" s="90">
        <v>119.9100036621094</v>
      </c>
      <c r="E8" s="90">
        <v>121.75</v>
      </c>
      <c r="F8" s="90" t="s">
        <v>594</v>
      </c>
    </row>
    <row r="9" spans="1:6" ht="16.5" x14ac:dyDescent="0.3">
      <c r="A9" t="s">
        <v>516</v>
      </c>
      <c r="B9" s="90">
        <v>133.5</v>
      </c>
      <c r="C9" s="90">
        <v>130.72999572753909</v>
      </c>
      <c r="D9" s="90">
        <v>133.8999938964844</v>
      </c>
      <c r="E9" s="90">
        <v>132.4700012207031</v>
      </c>
      <c r="F9" s="90" t="s">
        <v>595</v>
      </c>
    </row>
    <row r="10" spans="1:6" ht="16.5" x14ac:dyDescent="0.3">
      <c r="A10" t="s">
        <v>517</v>
      </c>
      <c r="B10" s="90">
        <v>126.5800018310547</v>
      </c>
      <c r="C10" s="90">
        <v>127.2200012207031</v>
      </c>
      <c r="D10" s="90">
        <v>127.84999847412109</v>
      </c>
      <c r="E10" s="90">
        <v>131.16999816894531</v>
      </c>
      <c r="F10" s="90" t="s">
        <v>596</v>
      </c>
    </row>
    <row r="11" spans="1:6" ht="16.5" x14ac:dyDescent="0.3">
      <c r="A11" t="s">
        <v>518</v>
      </c>
      <c r="B11" s="90">
        <v>133.99000549316409</v>
      </c>
      <c r="C11" s="90">
        <v>133.8999938964844</v>
      </c>
      <c r="D11" s="90">
        <v>133.78999328613281</v>
      </c>
      <c r="E11" s="90">
        <v>138.1300048828125</v>
      </c>
      <c r="F11" s="90" t="s">
        <v>597</v>
      </c>
    </row>
    <row r="12" spans="1:6" ht="16.5" x14ac:dyDescent="0.3">
      <c r="A12" t="s">
        <v>519</v>
      </c>
      <c r="B12" s="90">
        <v>139.77000427246091</v>
      </c>
      <c r="C12" s="90">
        <v>139.82000732421881</v>
      </c>
      <c r="D12" s="90">
        <v>139.42999267578119</v>
      </c>
      <c r="E12" s="90">
        <v>143.94999694824219</v>
      </c>
      <c r="F12" s="90" t="s">
        <v>598</v>
      </c>
    </row>
    <row r="13" spans="1:6" ht="16.5" x14ac:dyDescent="0.3">
      <c r="A13" t="s">
        <v>520</v>
      </c>
      <c r="B13" s="90">
        <v>140.6000061035156</v>
      </c>
      <c r="C13" s="90">
        <v>140.58000183105469</v>
      </c>
      <c r="D13" s="90">
        <v>140.2799987792969</v>
      </c>
      <c r="E13" s="90">
        <v>144.83000183105469</v>
      </c>
      <c r="F13" s="90" t="s">
        <v>599</v>
      </c>
    </row>
    <row r="14" spans="1:6" ht="16.5" x14ac:dyDescent="0.3">
      <c r="A14" t="s">
        <v>521</v>
      </c>
      <c r="B14" s="90">
        <v>13.97999954223633</v>
      </c>
      <c r="C14" s="90">
        <v>13.97000026702881</v>
      </c>
      <c r="D14" s="90">
        <v>13.939999580383301</v>
      </c>
      <c r="E14" s="90">
        <v>14.420000076293951</v>
      </c>
      <c r="F14" s="90" t="s">
        <v>587</v>
      </c>
    </row>
    <row r="15" spans="1:6" ht="16.5" x14ac:dyDescent="0.3">
      <c r="A15" t="s">
        <v>522</v>
      </c>
      <c r="B15" s="90">
        <v>115.0800018310547</v>
      </c>
      <c r="C15" s="90">
        <v>115.1699981689453</v>
      </c>
      <c r="D15" s="90">
        <v>114.7799987792969</v>
      </c>
      <c r="E15" s="90">
        <v>118.4700012207031</v>
      </c>
      <c r="F15" s="90" t="s">
        <v>600</v>
      </c>
    </row>
    <row r="16" spans="1:6" ht="16.5" x14ac:dyDescent="0.3">
      <c r="A16" t="s">
        <v>523</v>
      </c>
      <c r="B16" s="90">
        <v>136.13999938964841</v>
      </c>
      <c r="C16" s="90">
        <v>133.66999816894531</v>
      </c>
      <c r="D16" s="90">
        <v>133.03999328613281</v>
      </c>
      <c r="E16" s="90">
        <v>136.47999572753909</v>
      </c>
      <c r="F16" s="90" t="s">
        <v>601</v>
      </c>
    </row>
    <row r="17" spans="1:6" ht="16.5" x14ac:dyDescent="0.3">
      <c r="A17" t="s">
        <v>524</v>
      </c>
      <c r="B17" s="90">
        <v>13.39000034332275</v>
      </c>
      <c r="C17" s="90">
        <v>13.11999988555908</v>
      </c>
      <c r="D17" s="90">
        <v>12.89000034332275</v>
      </c>
      <c r="E17" s="90">
        <v>13.340000152587891</v>
      </c>
      <c r="F17" s="90" t="s">
        <v>602</v>
      </c>
    </row>
    <row r="18" spans="1:6" ht="16.5" x14ac:dyDescent="0.3">
      <c r="A18" t="s">
        <v>525</v>
      </c>
      <c r="B18" s="90">
        <v>6.6100001335144043</v>
      </c>
      <c r="C18" s="90">
        <v>6.9200000762939453</v>
      </c>
      <c r="D18" s="90">
        <v>6.7699999809265137</v>
      </c>
      <c r="E18" s="90">
        <v>6.6999998092651367</v>
      </c>
      <c r="F18" s="90" t="s">
        <v>585</v>
      </c>
    </row>
    <row r="19" spans="1:6" ht="16.5" x14ac:dyDescent="0.3">
      <c r="A19" t="s">
        <v>526</v>
      </c>
      <c r="B19" s="90">
        <v>100.7399978637695</v>
      </c>
      <c r="C19" s="90">
        <v>100.9599990844727</v>
      </c>
      <c r="D19" s="90">
        <v>100.379997253418</v>
      </c>
      <c r="E19" s="90">
        <v>104.25</v>
      </c>
      <c r="F19" s="90" t="s">
        <v>603</v>
      </c>
    </row>
    <row r="20" spans="1:6" ht="16.5" x14ac:dyDescent="0.3">
      <c r="A20" t="s">
        <v>527</v>
      </c>
      <c r="B20" s="90">
        <v>10.77999973297119</v>
      </c>
      <c r="C20" s="90">
        <v>10.909999847412109</v>
      </c>
      <c r="D20" s="90">
        <v>10.35999965667725</v>
      </c>
      <c r="E20" s="90">
        <v>10.14999961853027</v>
      </c>
      <c r="F20" s="90" t="s">
        <v>604</v>
      </c>
    </row>
    <row r="21" spans="1:6" ht="16.5" x14ac:dyDescent="0.3">
      <c r="A21" t="s">
        <v>528</v>
      </c>
      <c r="B21" s="90">
        <v>125.3300018310547</v>
      </c>
      <c r="C21" s="90">
        <v>126.8199996948242</v>
      </c>
      <c r="D21" s="90">
        <v>127.4300003051758</v>
      </c>
      <c r="E21" s="90">
        <v>131.19999694824219</v>
      </c>
      <c r="F21" s="90" t="s">
        <v>605</v>
      </c>
    </row>
    <row r="22" spans="1:6" ht="16.5" x14ac:dyDescent="0.3">
      <c r="A22" t="s">
        <v>529</v>
      </c>
      <c r="B22" s="90">
        <v>110.2900009155273</v>
      </c>
      <c r="C22" s="90">
        <v>110.38999938964839</v>
      </c>
      <c r="D22" s="90">
        <v>110.2200012207031</v>
      </c>
      <c r="E22" s="90">
        <v>112.8000030517578</v>
      </c>
      <c r="F22" s="90" t="s">
        <v>606</v>
      </c>
    </row>
    <row r="23" spans="1:6" ht="16.5" x14ac:dyDescent="0.3">
      <c r="A23" t="s">
        <v>530</v>
      </c>
      <c r="B23" s="90">
        <v>40.799999237060547</v>
      </c>
      <c r="C23" s="90">
        <v>38.700000762939453</v>
      </c>
      <c r="D23" s="90">
        <v>38.509998321533203</v>
      </c>
      <c r="E23" s="90">
        <v>39.099998474121087</v>
      </c>
      <c r="F23" s="90" t="s">
        <v>607</v>
      </c>
    </row>
    <row r="24" spans="1:6" ht="16.5" x14ac:dyDescent="0.3">
      <c r="A24" t="s">
        <v>531</v>
      </c>
      <c r="B24" s="90">
        <v>144.80999755859381</v>
      </c>
      <c r="C24" s="90">
        <v>146.8399963378906</v>
      </c>
      <c r="D24" s="90">
        <v>147.82000732421881</v>
      </c>
      <c r="E24" s="90">
        <v>152.55999755859381</v>
      </c>
      <c r="F24" s="90" t="s">
        <v>608</v>
      </c>
    </row>
    <row r="25" spans="1:6" ht="16.5" x14ac:dyDescent="0.3">
      <c r="A25" t="s">
        <v>532</v>
      </c>
      <c r="B25" s="90">
        <v>18.590000152587891</v>
      </c>
      <c r="C25" s="90">
        <v>18.260000228881839</v>
      </c>
      <c r="D25" s="90">
        <v>18.95000076293945</v>
      </c>
      <c r="E25" s="90">
        <v>19.20999908447266</v>
      </c>
      <c r="F25" s="90" t="s">
        <v>609</v>
      </c>
    </row>
    <row r="26" spans="1:6" ht="16.5" x14ac:dyDescent="0.3">
      <c r="A26" t="s">
        <v>499</v>
      </c>
      <c r="B26" s="90">
        <v>19.870000839233398</v>
      </c>
      <c r="C26" s="90">
        <v>19.420000076293949</v>
      </c>
      <c r="D26" s="90">
        <v>18.729999542236332</v>
      </c>
      <c r="E26" s="90">
        <v>18.909999847412109</v>
      </c>
      <c r="F26" s="90" t="s">
        <v>610</v>
      </c>
    </row>
    <row r="27" spans="1:6" ht="16.5" x14ac:dyDescent="0.3">
      <c r="A27" t="s">
        <v>533</v>
      </c>
      <c r="B27" s="90">
        <v>59.900001525878913</v>
      </c>
      <c r="C27" s="90">
        <v>59.919998168945313</v>
      </c>
      <c r="D27" s="90">
        <v>59.779998779296882</v>
      </c>
      <c r="E27" s="90">
        <v>61.680000305175781</v>
      </c>
      <c r="F27" s="90" t="s">
        <v>611</v>
      </c>
    </row>
    <row r="28" spans="1:6" ht="16.5" x14ac:dyDescent="0.3">
      <c r="A28" t="s">
        <v>534</v>
      </c>
      <c r="B28" s="90">
        <v>76.410003662109375</v>
      </c>
      <c r="C28" s="90">
        <v>75.169998168945313</v>
      </c>
      <c r="D28" s="90">
        <v>75.919998168945313</v>
      </c>
      <c r="E28" s="90">
        <v>76.349998474121094</v>
      </c>
      <c r="F28" s="90" t="s">
        <v>612</v>
      </c>
    </row>
    <row r="29" spans="1:6" ht="16.5" x14ac:dyDescent="0.3">
      <c r="A29" t="s">
        <v>535</v>
      </c>
      <c r="B29" s="90">
        <v>48.180000305175781</v>
      </c>
      <c r="C29" s="90">
        <v>47.279998779296882</v>
      </c>
      <c r="D29" s="90">
        <v>48.259998321533203</v>
      </c>
      <c r="E29" s="90">
        <v>48.569999694824219</v>
      </c>
      <c r="F29" s="90" t="s">
        <v>613</v>
      </c>
    </row>
    <row r="30" spans="1:6" ht="16.5" x14ac:dyDescent="0.3">
      <c r="A30" t="s">
        <v>536</v>
      </c>
      <c r="B30" s="90">
        <v>112.84999847412109</v>
      </c>
      <c r="C30" s="90">
        <v>112.7799987792969</v>
      </c>
      <c r="D30" s="90">
        <v>112.4700012207031</v>
      </c>
      <c r="E30" s="90">
        <v>116.2099990844727</v>
      </c>
      <c r="F30" s="90" t="s">
        <v>614</v>
      </c>
    </row>
    <row r="31" spans="1:6" ht="16.5" x14ac:dyDescent="0.3">
      <c r="A31" t="s">
        <v>537</v>
      </c>
      <c r="B31" s="90">
        <v>89.839996337890625</v>
      </c>
      <c r="C31" s="90">
        <v>90.160003662109375</v>
      </c>
      <c r="D31" s="90">
        <v>90.510002136230469</v>
      </c>
      <c r="E31" s="90">
        <v>90.919998168945313</v>
      </c>
      <c r="F31" s="90" t="s">
        <v>615</v>
      </c>
    </row>
    <row r="32" spans="1:6" ht="16.5" x14ac:dyDescent="0.3">
      <c r="A32" t="s">
        <v>538</v>
      </c>
      <c r="B32" s="90">
        <v>38.310001373291023</v>
      </c>
      <c r="C32" s="90">
        <v>38.259998321533203</v>
      </c>
      <c r="D32" s="90">
        <v>38.400001525878913</v>
      </c>
      <c r="E32" s="90">
        <v>39.310001373291023</v>
      </c>
      <c r="F32" s="90" t="s">
        <v>616</v>
      </c>
    </row>
    <row r="33" spans="1:6" ht="16.5" x14ac:dyDescent="0.3">
      <c r="A33" t="s">
        <v>539</v>
      </c>
      <c r="B33" s="90">
        <v>371.67999267578119</v>
      </c>
      <c r="C33" s="90">
        <v>369.75</v>
      </c>
      <c r="D33" s="90">
        <v>380</v>
      </c>
      <c r="E33" s="90">
        <v>379.39999389648438</v>
      </c>
      <c r="F33" s="90" t="s">
        <v>617</v>
      </c>
    </row>
    <row r="34" spans="1:6" ht="16.5" x14ac:dyDescent="0.3">
      <c r="A34" t="s">
        <v>540</v>
      </c>
      <c r="B34" s="90">
        <v>142.44999694824219</v>
      </c>
      <c r="C34" s="90">
        <v>143</v>
      </c>
      <c r="D34" s="90">
        <v>147.02000427246091</v>
      </c>
      <c r="E34" s="90">
        <v>142.88999938964841</v>
      </c>
      <c r="F34" s="90" t="s">
        <v>618</v>
      </c>
    </row>
    <row r="35" spans="1:6" ht="16.5" x14ac:dyDescent="0.3">
      <c r="A35" t="s">
        <v>541</v>
      </c>
      <c r="B35" s="90">
        <v>134.80000305175781</v>
      </c>
      <c r="C35" s="90">
        <v>135.0899963378906</v>
      </c>
      <c r="D35" s="90">
        <v>135.46000671386719</v>
      </c>
      <c r="E35" s="90">
        <v>135.86000061035159</v>
      </c>
      <c r="F35" s="90" t="s">
        <v>619</v>
      </c>
    </row>
    <row r="36" spans="1:6" ht="16.5" x14ac:dyDescent="0.3">
      <c r="A36" t="s">
        <v>542</v>
      </c>
      <c r="B36" s="90">
        <v>50.759998321533203</v>
      </c>
      <c r="C36" s="90">
        <v>49.020000457763672</v>
      </c>
      <c r="D36" s="90">
        <v>49.060001373291023</v>
      </c>
      <c r="E36" s="90">
        <v>51.569999694824219</v>
      </c>
      <c r="F36" s="90" t="s">
        <v>620</v>
      </c>
    </row>
    <row r="37" spans="1:6" ht="16.5" x14ac:dyDescent="0.3">
      <c r="A37" t="s">
        <v>543</v>
      </c>
      <c r="B37" s="90">
        <v>72.720001220703125</v>
      </c>
      <c r="C37" s="90">
        <v>73.779998779296875</v>
      </c>
      <c r="D37" s="90">
        <v>76.919998168945313</v>
      </c>
      <c r="E37" s="90">
        <v>77.620002746582031</v>
      </c>
      <c r="F37" s="90" t="s">
        <v>621</v>
      </c>
    </row>
    <row r="38" spans="1:6" ht="16.5" x14ac:dyDescent="0.3">
      <c r="A38" t="s">
        <v>544</v>
      </c>
      <c r="B38" s="90">
        <v>16.739999771118161</v>
      </c>
      <c r="C38" s="90">
        <v>16.64999961853027</v>
      </c>
      <c r="D38" s="90">
        <v>17.219999313354489</v>
      </c>
      <c r="E38" s="90">
        <v>17.180000305175781</v>
      </c>
      <c r="F38" s="90" t="s">
        <v>622</v>
      </c>
    </row>
    <row r="39" spans="1:6" ht="16.5" x14ac:dyDescent="0.3">
      <c r="A39" t="s">
        <v>545</v>
      </c>
      <c r="B39" s="90">
        <v>241.55000305175781</v>
      </c>
      <c r="C39" s="90">
        <v>241.6000061035156</v>
      </c>
      <c r="D39" s="90">
        <v>240.8500061035156</v>
      </c>
      <c r="E39" s="90">
        <v>248.8500061035156</v>
      </c>
      <c r="F39" s="90" t="s">
        <v>623</v>
      </c>
    </row>
    <row r="40" spans="1:6" ht="16.5" x14ac:dyDescent="0.3">
      <c r="A40" t="s">
        <v>546</v>
      </c>
      <c r="B40" s="90">
        <v>35.169998168945313</v>
      </c>
      <c r="C40" s="90">
        <v>34.619998931884773</v>
      </c>
      <c r="D40" s="90">
        <v>35.990001678466797</v>
      </c>
      <c r="E40" s="90">
        <v>35.220001220703118</v>
      </c>
      <c r="F40" s="90" t="s">
        <v>624</v>
      </c>
    </row>
    <row r="41" spans="1:6" ht="16.5" x14ac:dyDescent="0.3">
      <c r="A41" t="s">
        <v>547</v>
      </c>
      <c r="B41" s="90">
        <v>9.7700004577636719</v>
      </c>
      <c r="C41" s="90">
        <v>9.369999885559082</v>
      </c>
      <c r="D41" s="90">
        <v>9.2899999618530273</v>
      </c>
      <c r="E41" s="90">
        <v>9.3999996185302734</v>
      </c>
      <c r="F41" s="90" t="s">
        <v>625</v>
      </c>
    </row>
    <row r="42" spans="1:6" ht="16.5" x14ac:dyDescent="0.3">
      <c r="A42" t="s">
        <v>548</v>
      </c>
      <c r="B42" s="90">
        <v>64.44000244140625</v>
      </c>
      <c r="C42" s="90">
        <v>63.569999694824219</v>
      </c>
      <c r="D42" s="90">
        <v>63.330001831054688</v>
      </c>
      <c r="E42" s="90">
        <v>64.55999755859375</v>
      </c>
      <c r="F42" s="90" t="s">
        <v>626</v>
      </c>
    </row>
    <row r="43" spans="1:6" ht="16.5" x14ac:dyDescent="0.3">
      <c r="A43" t="s">
        <v>549</v>
      </c>
      <c r="B43" s="90">
        <v>7.9499998092651367</v>
      </c>
      <c r="C43" s="90">
        <v>7.9200000762939453</v>
      </c>
      <c r="D43" s="90">
        <v>7.929999828338623</v>
      </c>
      <c r="E43" s="90">
        <v>8.0399999618530273</v>
      </c>
      <c r="F43" s="90" t="s">
        <v>627</v>
      </c>
    </row>
    <row r="44" spans="1:6" ht="16.5" x14ac:dyDescent="0.3">
      <c r="A44" t="s">
        <v>550</v>
      </c>
      <c r="B44" s="90">
        <v>56.450000762939453</v>
      </c>
      <c r="C44" s="90">
        <v>56.119998931884773</v>
      </c>
      <c r="D44" s="90">
        <v>56.180000305175781</v>
      </c>
      <c r="E44" s="90">
        <v>57.200000762939453</v>
      </c>
      <c r="F44" s="90" t="s">
        <v>628</v>
      </c>
    </row>
    <row r="45" spans="1:6" ht="16.5" x14ac:dyDescent="0.3">
      <c r="A45" t="s">
        <v>551</v>
      </c>
      <c r="B45" s="90">
        <v>107.2900009155273</v>
      </c>
      <c r="C45" s="90">
        <v>107.7399978637695</v>
      </c>
      <c r="D45" s="90">
        <v>107.3199996948242</v>
      </c>
      <c r="E45" s="90">
        <v>108.8000030517578</v>
      </c>
      <c r="F45" s="90" t="s">
        <v>629</v>
      </c>
    </row>
    <row r="46" spans="1:6" ht="16.5" x14ac:dyDescent="0.3">
      <c r="A46" t="s">
        <v>552</v>
      </c>
      <c r="B46" s="90">
        <v>22.510000228881839</v>
      </c>
      <c r="C46" s="90">
        <v>21.54999923706055</v>
      </c>
      <c r="D46" s="90">
        <v>22.319999694824219</v>
      </c>
      <c r="E46" s="90">
        <v>22.35000038146973</v>
      </c>
      <c r="F46" s="90" t="s">
        <v>630</v>
      </c>
    </row>
    <row r="47" spans="1:6" ht="16.5" x14ac:dyDescent="0.3">
      <c r="A47" t="s">
        <v>553</v>
      </c>
      <c r="B47" s="90">
        <v>14.460000038146971</v>
      </c>
      <c r="C47" s="90">
        <v>14.38000011444092</v>
      </c>
      <c r="D47" s="90">
        <v>14.85000038146973</v>
      </c>
      <c r="E47" s="90">
        <v>14.88000011444092</v>
      </c>
      <c r="F47" s="90" t="s">
        <v>631</v>
      </c>
    </row>
    <row r="48" spans="1:6" ht="16.5" x14ac:dyDescent="0.3">
      <c r="A48" t="s">
        <v>554</v>
      </c>
      <c r="B48" s="90">
        <v>361.60000610351563</v>
      </c>
      <c r="C48" s="90">
        <v>359.82998657226563</v>
      </c>
      <c r="D48" s="90">
        <v>369.60000610351563</v>
      </c>
      <c r="E48" s="90">
        <v>370.82000732421881</v>
      </c>
      <c r="F48" s="90" t="s">
        <v>632</v>
      </c>
    </row>
    <row r="49" spans="1:6" ht="16.5" x14ac:dyDescent="0.3">
      <c r="A49" t="s">
        <v>555</v>
      </c>
      <c r="B49" s="90">
        <v>101.2600021362305</v>
      </c>
      <c r="C49" s="90">
        <v>100.90000152587891</v>
      </c>
      <c r="D49" s="90">
        <v>106.40000152587891</v>
      </c>
      <c r="E49" s="90">
        <v>107.1600036621094</v>
      </c>
      <c r="F49" s="90" t="s">
        <v>633</v>
      </c>
    </row>
    <row r="50" spans="1:6" ht="16.5" x14ac:dyDescent="0.3">
      <c r="A50" t="s">
        <v>556</v>
      </c>
      <c r="B50" s="90">
        <v>44.459999084472663</v>
      </c>
      <c r="C50" s="90">
        <v>44.619998931884773</v>
      </c>
      <c r="D50" s="90">
        <v>44.430000305175781</v>
      </c>
      <c r="E50" s="90">
        <v>45.240001678466797</v>
      </c>
      <c r="F50" s="90" t="s">
        <v>634</v>
      </c>
    </row>
    <row r="51" spans="1:6" ht="16.5" x14ac:dyDescent="0.3">
      <c r="A51" t="s">
        <v>557</v>
      </c>
      <c r="B51" s="90">
        <v>15.510000228881839</v>
      </c>
      <c r="C51" s="90">
        <v>15.63000011444092</v>
      </c>
      <c r="D51" s="90">
        <v>16.20000076293945</v>
      </c>
      <c r="E51" s="90">
        <v>16.54000091552734</v>
      </c>
      <c r="F51" s="90" t="s">
        <v>635</v>
      </c>
    </row>
    <row r="52" spans="1:6" ht="16.5" x14ac:dyDescent="0.3">
      <c r="A52" t="s">
        <v>558</v>
      </c>
      <c r="B52" s="90">
        <v>123.9899978637695</v>
      </c>
      <c r="C52" s="90">
        <v>122.88999938964839</v>
      </c>
      <c r="D52" s="90">
        <v>125.80999755859381</v>
      </c>
      <c r="E52" s="90">
        <v>126.8399963378906</v>
      </c>
      <c r="F52" s="90" t="s">
        <v>636</v>
      </c>
    </row>
    <row r="53" spans="1:6" ht="16.5" x14ac:dyDescent="0.3">
      <c r="A53" t="s">
        <v>559</v>
      </c>
      <c r="B53" s="90">
        <v>134.5</v>
      </c>
      <c r="C53" s="90">
        <v>134.49000549316409</v>
      </c>
      <c r="D53" s="90">
        <v>134.13999938964841</v>
      </c>
      <c r="E53" s="90">
        <v>138.3800048828125</v>
      </c>
      <c r="F53" s="90" t="s">
        <v>637</v>
      </c>
    </row>
    <row r="54" spans="1:6" ht="16.5" x14ac:dyDescent="0.3">
      <c r="A54" t="s">
        <v>560</v>
      </c>
      <c r="B54" s="90">
        <v>12.10999965667725</v>
      </c>
      <c r="C54" s="90">
        <v>12.19999980926514</v>
      </c>
      <c r="D54" s="90">
        <v>12.210000038146971</v>
      </c>
      <c r="E54" s="90">
        <v>12.36999988555908</v>
      </c>
      <c r="F54" s="90" t="s">
        <v>638</v>
      </c>
    </row>
    <row r="55" spans="1:6" ht="16.5" x14ac:dyDescent="0.3">
      <c r="A55" t="s">
        <v>561</v>
      </c>
      <c r="B55" s="90">
        <v>7.7399997711181641</v>
      </c>
      <c r="C55" s="90">
        <v>7.5999999046325684</v>
      </c>
      <c r="D55" s="90">
        <v>7.7800002098083496</v>
      </c>
      <c r="E55" s="90">
        <v>7.6500000953674316</v>
      </c>
      <c r="F55" s="90" t="s">
        <v>639</v>
      </c>
    </row>
    <row r="56" spans="1:6" ht="16.5" x14ac:dyDescent="0.3">
      <c r="A56" t="s">
        <v>562</v>
      </c>
      <c r="B56" s="90">
        <v>32.869998931884773</v>
      </c>
      <c r="C56" s="90">
        <v>31.819999694824219</v>
      </c>
      <c r="D56" s="90">
        <v>32.75</v>
      </c>
      <c r="E56" s="90">
        <v>33.799999237060547</v>
      </c>
      <c r="F56" s="90" t="s">
        <v>640</v>
      </c>
    </row>
  </sheetData>
  <sortState xmlns:xlrd2="http://schemas.microsoft.com/office/spreadsheetml/2017/richdata2" ref="A52:A73">
    <sortCondition ref="A52:A73"/>
  </sortState>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79CF-2D86-4F14-B6E2-0A64E9EB3B87}">
  <dimension ref="A1:F150"/>
  <sheetViews>
    <sheetView workbookViewId="0">
      <selection activeCell="I6" sqref="I6"/>
    </sheetView>
  </sheetViews>
  <sheetFormatPr defaultRowHeight="15" x14ac:dyDescent="0.25"/>
  <cols>
    <col min="2" max="6" width="10.7109375" bestFit="1" customWidth="1"/>
  </cols>
  <sheetData>
    <row r="1" spans="1:6" x14ac:dyDescent="0.25">
      <c r="A1" t="s">
        <v>477</v>
      </c>
      <c r="B1" s="79">
        <v>45822</v>
      </c>
      <c r="C1" s="79">
        <v>45829</v>
      </c>
      <c r="D1" s="79">
        <v>45836</v>
      </c>
      <c r="E1" s="79">
        <v>45843</v>
      </c>
      <c r="F1" s="79">
        <v>45849</v>
      </c>
    </row>
    <row r="2" spans="1:6" ht="16.5" x14ac:dyDescent="0.3">
      <c r="A2" t="s">
        <v>568</v>
      </c>
      <c r="B2" s="90">
        <v>100.13999938964839</v>
      </c>
      <c r="C2" s="90">
        <v>99.900001525878906</v>
      </c>
      <c r="D2" s="90">
        <v>100</v>
      </c>
      <c r="E2" s="90">
        <v>100.13999938964839</v>
      </c>
      <c r="F2" s="90" t="s">
        <v>641</v>
      </c>
    </row>
    <row r="3" spans="1:6" ht="16.5" x14ac:dyDescent="0.3">
      <c r="A3" t="s">
        <v>569</v>
      </c>
      <c r="B3" s="90">
        <v>7.2399997711181641</v>
      </c>
      <c r="C3" s="90">
        <v>7.4000000953674316</v>
      </c>
      <c r="D3" s="90">
        <v>7.3400001525878906</v>
      </c>
      <c r="E3" s="90">
        <v>7.5399999618530273</v>
      </c>
      <c r="F3" s="90" t="s">
        <v>586</v>
      </c>
    </row>
    <row r="4" spans="1:6" ht="16.5" x14ac:dyDescent="0.3">
      <c r="A4" t="s">
        <v>574</v>
      </c>
      <c r="B4" s="90">
        <v>8.5798683166503906</v>
      </c>
      <c r="C4" s="90">
        <v>8.7086648941040039</v>
      </c>
      <c r="D4" s="90">
        <v>8.8473701477050781</v>
      </c>
      <c r="E4" s="90">
        <v>8.9899997711181641</v>
      </c>
      <c r="F4" s="90" t="s">
        <v>642</v>
      </c>
    </row>
    <row r="5" spans="1:6" ht="16.5" x14ac:dyDescent="0.3">
      <c r="A5" t="s">
        <v>580</v>
      </c>
      <c r="B5" s="90">
        <v>19.253940582275391</v>
      </c>
      <c r="C5" s="90">
        <v>19.244020462036129</v>
      </c>
      <c r="D5" s="90">
        <v>19.53168869018555</v>
      </c>
      <c r="E5" s="90">
        <v>19.510000228881839</v>
      </c>
      <c r="F5" s="90" t="s">
        <v>643</v>
      </c>
    </row>
    <row r="6" spans="1:6" ht="16.5" x14ac:dyDescent="0.3">
      <c r="A6" t="s">
        <v>565</v>
      </c>
      <c r="B6" s="90">
        <v>156.40202331542969</v>
      </c>
      <c r="C6" s="90">
        <v>156.43182373046881</v>
      </c>
      <c r="D6" s="90">
        <v>156.4119567871094</v>
      </c>
      <c r="E6" s="90">
        <v>157.58000183105469</v>
      </c>
      <c r="F6" s="90" t="s">
        <v>644</v>
      </c>
    </row>
    <row r="7" spans="1:6" ht="16.5" x14ac:dyDescent="0.3">
      <c r="A7" t="s">
        <v>576</v>
      </c>
      <c r="B7" s="90">
        <v>122.637825012207</v>
      </c>
      <c r="C7" s="90">
        <v>122.43043518066411</v>
      </c>
      <c r="D7" s="90">
        <v>123.1809997558594</v>
      </c>
      <c r="E7" s="90">
        <v>124.1999969482422</v>
      </c>
      <c r="F7" s="90" t="s">
        <v>645</v>
      </c>
    </row>
    <row r="8" spans="1:6" ht="16.5" x14ac:dyDescent="0.3">
      <c r="A8" t="s">
        <v>573</v>
      </c>
      <c r="B8" s="90">
        <v>67.120002746582031</v>
      </c>
      <c r="C8" s="90">
        <v>66.800003051757813</v>
      </c>
      <c r="D8" s="90">
        <v>67.5</v>
      </c>
      <c r="E8" s="90">
        <v>68.739997863769531</v>
      </c>
      <c r="F8" s="90" t="s">
        <v>646</v>
      </c>
    </row>
    <row r="9" spans="1:6" ht="16.5" x14ac:dyDescent="0.3">
      <c r="A9" t="s">
        <v>566</v>
      </c>
      <c r="B9" s="90">
        <v>101.5285110473633</v>
      </c>
      <c r="C9" s="90">
        <v>103.0904922485352</v>
      </c>
      <c r="D9" s="90">
        <v>104.55361175537109</v>
      </c>
      <c r="E9" s="90">
        <v>104.9499969482422</v>
      </c>
      <c r="F9" s="90" t="s">
        <v>647</v>
      </c>
    </row>
    <row r="10" spans="1:6" ht="16.5" x14ac:dyDescent="0.3">
      <c r="A10" t="s">
        <v>582</v>
      </c>
      <c r="B10" s="90">
        <v>89.506072998046875</v>
      </c>
      <c r="C10" s="90">
        <v>89.406944274902344</v>
      </c>
      <c r="D10" s="90">
        <v>90.348594665527344</v>
      </c>
      <c r="E10" s="90">
        <v>89.30999755859375</v>
      </c>
      <c r="F10" s="90" t="s">
        <v>648</v>
      </c>
    </row>
    <row r="11" spans="1:6" ht="16.5" x14ac:dyDescent="0.3">
      <c r="A11" t="s">
        <v>572</v>
      </c>
      <c r="B11" s="90">
        <v>143.07160949707031</v>
      </c>
      <c r="C11" s="90">
        <v>142.6346435546875</v>
      </c>
      <c r="D11" s="90">
        <v>142.6147766113281</v>
      </c>
      <c r="E11" s="90">
        <v>145.19999694824219</v>
      </c>
      <c r="F11" s="90" t="s">
        <v>649</v>
      </c>
    </row>
    <row r="12" spans="1:6" ht="16.5" x14ac:dyDescent="0.3">
      <c r="A12" t="s">
        <v>581</v>
      </c>
      <c r="B12" s="90">
        <v>85.019996643066406</v>
      </c>
      <c r="C12" s="90">
        <v>87.029998779296875</v>
      </c>
      <c r="D12" s="90">
        <v>87.550003051757813</v>
      </c>
      <c r="E12" s="90">
        <v>88.279998779296875</v>
      </c>
      <c r="F12" s="90" t="s">
        <v>650</v>
      </c>
    </row>
    <row r="13" spans="1:6" ht="16.5" x14ac:dyDescent="0.3">
      <c r="A13" t="s">
        <v>563</v>
      </c>
      <c r="B13" s="90">
        <v>9.2814712524414063</v>
      </c>
      <c r="C13" s="90">
        <v>9.2814712524414063</v>
      </c>
      <c r="D13" s="90">
        <v>9.3705253601074219</v>
      </c>
      <c r="E13" s="90">
        <v>9.5</v>
      </c>
      <c r="F13" s="90" t="s">
        <v>651</v>
      </c>
    </row>
    <row r="14" spans="1:6" ht="16.5" x14ac:dyDescent="0.3">
      <c r="A14" t="s">
        <v>578</v>
      </c>
      <c r="B14" s="90">
        <v>75.560783386230469</v>
      </c>
      <c r="C14" s="90">
        <v>75.501182556152344</v>
      </c>
      <c r="D14" s="90">
        <v>75.153480529785156</v>
      </c>
      <c r="E14" s="90">
        <v>77.19000244140625</v>
      </c>
      <c r="F14" s="90" t="s">
        <v>652</v>
      </c>
    </row>
    <row r="15" spans="1:6" ht="16.5" x14ac:dyDescent="0.3">
      <c r="A15" t="s">
        <v>577</v>
      </c>
      <c r="B15" s="90">
        <v>80.47833251953125</v>
      </c>
      <c r="C15" s="90">
        <v>82.019905090332031</v>
      </c>
      <c r="D15" s="90">
        <v>84.085227966308594</v>
      </c>
      <c r="E15" s="90">
        <v>85.448936462402344</v>
      </c>
      <c r="F15" s="90" t="s">
        <v>653</v>
      </c>
    </row>
    <row r="16" spans="1:6" ht="16.5" x14ac:dyDescent="0.3">
      <c r="A16" t="s">
        <v>579</v>
      </c>
      <c r="B16" s="90">
        <v>86.699356079101563</v>
      </c>
      <c r="C16" s="90">
        <v>88.72711181640625</v>
      </c>
      <c r="D16" s="90">
        <v>91.298919677734375</v>
      </c>
      <c r="E16" s="90">
        <v>91.610000610351563</v>
      </c>
      <c r="F16" s="90" t="s">
        <v>654</v>
      </c>
    </row>
    <row r="17" spans="1:6" ht="16.5" x14ac:dyDescent="0.3">
      <c r="A17" t="s">
        <v>567</v>
      </c>
      <c r="B17" s="90">
        <v>7.4527063369750977</v>
      </c>
      <c r="C17" s="90">
        <v>7.5810308456420898</v>
      </c>
      <c r="D17" s="90">
        <v>7.6501288414001456</v>
      </c>
      <c r="E17" s="90">
        <v>7.7600002288818359</v>
      </c>
      <c r="F17" s="90" t="s">
        <v>655</v>
      </c>
    </row>
    <row r="18" spans="1:6" ht="16.5" x14ac:dyDescent="0.3">
      <c r="A18" t="s">
        <v>575</v>
      </c>
      <c r="B18" s="90">
        <v>9.3999996185302734</v>
      </c>
      <c r="C18" s="90">
        <v>9.5</v>
      </c>
      <c r="D18" s="90">
        <v>9.5299997329711914</v>
      </c>
      <c r="E18" s="90">
        <v>9.75</v>
      </c>
      <c r="F18" s="90" t="s">
        <v>584</v>
      </c>
    </row>
    <row r="19" spans="1:6" ht="16.5" x14ac:dyDescent="0.3">
      <c r="A19" t="s">
        <v>570</v>
      </c>
      <c r="B19" s="90">
        <v>101.99656677246089</v>
      </c>
      <c r="C19" s="90">
        <v>104.1496047973633</v>
      </c>
      <c r="D19" s="90">
        <v>103.29632568359381</v>
      </c>
      <c r="E19" s="90">
        <v>105.2399978637695</v>
      </c>
      <c r="F19" s="90" t="s">
        <v>656</v>
      </c>
    </row>
    <row r="20" spans="1:6" ht="16.5" x14ac:dyDescent="0.3">
      <c r="A20" t="s">
        <v>571</v>
      </c>
      <c r="B20" s="90">
        <v>97.727836608886719</v>
      </c>
      <c r="C20" s="90">
        <v>96.507965087890625</v>
      </c>
      <c r="D20" s="90">
        <v>99.175796508789063</v>
      </c>
      <c r="E20" s="90">
        <v>100.51999664306641</v>
      </c>
      <c r="F20" s="90" t="s">
        <v>657</v>
      </c>
    </row>
    <row r="21" spans="1:6" ht="16.5" x14ac:dyDescent="0.3">
      <c r="A21" t="s">
        <v>564</v>
      </c>
      <c r="B21" s="90">
        <v>103.2558288574219</v>
      </c>
      <c r="C21" s="90">
        <v>101.19000244140619</v>
      </c>
      <c r="D21" s="90">
        <v>103.1999969482422</v>
      </c>
      <c r="E21" s="90">
        <v>105.44000244140619</v>
      </c>
      <c r="F21" s="90" t="s">
        <v>658</v>
      </c>
    </row>
    <row r="22" spans="1:6" ht="16.5" x14ac:dyDescent="0.3">
      <c r="B22" s="90"/>
      <c r="C22" s="90"/>
      <c r="D22" s="90"/>
      <c r="E22" s="90"/>
      <c r="F22" s="90"/>
    </row>
    <row r="23" spans="1:6" ht="16.5" x14ac:dyDescent="0.3">
      <c r="B23" s="90"/>
      <c r="C23" s="90"/>
      <c r="D23" s="90"/>
      <c r="E23" s="90"/>
      <c r="F23" s="90"/>
    </row>
    <row r="24" spans="1:6" ht="16.5" x14ac:dyDescent="0.3">
      <c r="B24" s="90"/>
      <c r="C24" s="90"/>
      <c r="D24" s="90"/>
      <c r="E24" s="90"/>
      <c r="F24" s="90"/>
    </row>
    <row r="25" spans="1:6" ht="16.5" x14ac:dyDescent="0.3">
      <c r="B25" s="90"/>
      <c r="C25" s="90"/>
      <c r="D25" s="90"/>
      <c r="E25" s="90"/>
      <c r="F25" s="90"/>
    </row>
    <row r="26" spans="1:6" ht="16.5" x14ac:dyDescent="0.3">
      <c r="B26" s="90"/>
      <c r="C26" s="90"/>
      <c r="D26" s="90"/>
      <c r="E26" s="90"/>
      <c r="F26" s="90"/>
    </row>
    <row r="27" spans="1:6" ht="16.5" x14ac:dyDescent="0.3">
      <c r="B27" s="90"/>
      <c r="C27" s="90"/>
      <c r="D27" s="90"/>
      <c r="E27" s="90"/>
      <c r="F27" s="90"/>
    </row>
    <row r="28" spans="1:6" ht="16.5" x14ac:dyDescent="0.3">
      <c r="B28" s="90"/>
      <c r="C28" s="90"/>
      <c r="D28" s="90"/>
      <c r="E28" s="90"/>
      <c r="F28" s="90"/>
    </row>
    <row r="29" spans="1:6" ht="16.5" x14ac:dyDescent="0.3">
      <c r="B29" s="90"/>
      <c r="C29" s="90"/>
      <c r="D29" s="90"/>
      <c r="E29" s="90"/>
      <c r="F29" s="90"/>
    </row>
    <row r="30" spans="1:6" ht="16.5" x14ac:dyDescent="0.3">
      <c r="B30" s="90"/>
      <c r="C30" s="90"/>
      <c r="D30" s="90"/>
      <c r="E30" s="90"/>
      <c r="F30" s="90"/>
    </row>
    <row r="31" spans="1:6" ht="16.5" x14ac:dyDescent="0.3">
      <c r="B31" s="90"/>
      <c r="C31" s="90"/>
      <c r="D31" s="90"/>
      <c r="E31" s="90"/>
      <c r="F31" s="90"/>
    </row>
    <row r="32" spans="1:6" ht="16.5" x14ac:dyDescent="0.3">
      <c r="B32" s="90"/>
      <c r="C32" s="90"/>
      <c r="D32" s="90"/>
      <c r="E32" s="90"/>
      <c r="F32" s="90"/>
    </row>
    <row r="33" spans="2:6" ht="16.5" x14ac:dyDescent="0.3">
      <c r="B33" s="90"/>
      <c r="C33" s="90"/>
      <c r="D33" s="90"/>
      <c r="E33" s="90"/>
      <c r="F33" s="90"/>
    </row>
    <row r="34" spans="2:6" ht="16.5" x14ac:dyDescent="0.3">
      <c r="B34" s="90"/>
      <c r="C34" s="90"/>
      <c r="D34" s="90"/>
      <c r="E34" s="90"/>
      <c r="F34" s="90"/>
    </row>
    <row r="35" spans="2:6" ht="16.5" x14ac:dyDescent="0.3">
      <c r="B35" s="90"/>
      <c r="C35" s="90"/>
      <c r="D35" s="90"/>
      <c r="E35" s="90"/>
      <c r="F35" s="90"/>
    </row>
    <row r="36" spans="2:6" ht="16.5" x14ac:dyDescent="0.3">
      <c r="B36" s="90"/>
      <c r="C36" s="90"/>
      <c r="D36" s="90"/>
      <c r="E36" s="90"/>
      <c r="F36" s="90"/>
    </row>
    <row r="37" spans="2:6" ht="16.5" x14ac:dyDescent="0.3">
      <c r="B37" s="90"/>
      <c r="C37" s="90"/>
      <c r="D37" s="90"/>
      <c r="E37" s="90"/>
      <c r="F37" s="90"/>
    </row>
    <row r="38" spans="2:6" ht="16.5" x14ac:dyDescent="0.3">
      <c r="B38" s="90"/>
      <c r="C38" s="90"/>
      <c r="D38" s="90"/>
      <c r="E38" s="90"/>
      <c r="F38" s="90"/>
    </row>
    <row r="39" spans="2:6" ht="16.5" x14ac:dyDescent="0.3">
      <c r="B39" s="90"/>
      <c r="C39" s="90"/>
      <c r="D39" s="90"/>
      <c r="E39" s="90"/>
      <c r="F39" s="90"/>
    </row>
    <row r="40" spans="2:6" ht="16.5" x14ac:dyDescent="0.3">
      <c r="B40" s="90"/>
      <c r="C40" s="90"/>
      <c r="D40" s="90"/>
      <c r="E40" s="90"/>
      <c r="F40" s="90"/>
    </row>
    <row r="41" spans="2:6" ht="16.5" x14ac:dyDescent="0.3">
      <c r="B41" s="90"/>
      <c r="C41" s="90"/>
      <c r="D41" s="90"/>
      <c r="E41" s="90"/>
      <c r="F41" s="90"/>
    </row>
    <row r="42" spans="2:6" ht="16.5" x14ac:dyDescent="0.3">
      <c r="B42" s="90"/>
      <c r="C42" s="90"/>
      <c r="D42" s="90"/>
      <c r="E42" s="90"/>
      <c r="F42" s="90"/>
    </row>
    <row r="43" spans="2:6" ht="16.5" x14ac:dyDescent="0.3">
      <c r="B43" s="90"/>
      <c r="C43" s="90"/>
      <c r="D43" s="90"/>
      <c r="E43" s="90"/>
      <c r="F43" s="90"/>
    </row>
    <row r="44" spans="2:6" ht="16.5" x14ac:dyDescent="0.3">
      <c r="B44" s="90"/>
      <c r="C44" s="90"/>
      <c r="D44" s="90"/>
      <c r="E44" s="90"/>
      <c r="F44" s="90"/>
    </row>
    <row r="45" spans="2:6" ht="16.5" x14ac:dyDescent="0.3">
      <c r="B45" s="90"/>
      <c r="C45" s="90"/>
      <c r="D45" s="90"/>
      <c r="E45" s="90"/>
      <c r="F45" s="90"/>
    </row>
    <row r="46" spans="2:6" ht="16.5" x14ac:dyDescent="0.3">
      <c r="B46" s="90"/>
      <c r="C46" s="90"/>
      <c r="D46" s="90"/>
      <c r="E46" s="90"/>
      <c r="F46" s="90"/>
    </row>
    <row r="47" spans="2:6" ht="16.5" x14ac:dyDescent="0.3">
      <c r="B47" s="90"/>
      <c r="C47" s="90"/>
      <c r="D47" s="90"/>
      <c r="E47" s="90"/>
      <c r="F47" s="90"/>
    </row>
    <row r="48" spans="2:6" ht="16.5" x14ac:dyDescent="0.3">
      <c r="B48" s="90"/>
      <c r="C48" s="90"/>
      <c r="D48" s="90"/>
      <c r="E48" s="90"/>
      <c r="F48" s="90"/>
    </row>
    <row r="49" spans="2:6" ht="16.5" x14ac:dyDescent="0.3">
      <c r="B49" s="90"/>
      <c r="C49" s="90"/>
      <c r="D49" s="90"/>
      <c r="E49" s="90"/>
      <c r="F49" s="90"/>
    </row>
    <row r="50" spans="2:6" ht="16.5" x14ac:dyDescent="0.3">
      <c r="B50" s="90"/>
      <c r="C50" s="90"/>
      <c r="D50" s="90"/>
      <c r="E50" s="90"/>
      <c r="F50" s="90"/>
    </row>
    <row r="51" spans="2:6" ht="16.5" x14ac:dyDescent="0.3">
      <c r="B51" s="90"/>
      <c r="C51" s="90"/>
      <c r="D51" s="90"/>
      <c r="E51" s="90"/>
      <c r="F51" s="90"/>
    </row>
    <row r="52" spans="2:6" ht="16.5" x14ac:dyDescent="0.3">
      <c r="B52" s="90"/>
      <c r="C52" s="90"/>
      <c r="D52" s="90"/>
      <c r="E52" s="90"/>
      <c r="F52" s="90"/>
    </row>
    <row r="53" spans="2:6" ht="16.5" x14ac:dyDescent="0.3">
      <c r="B53" s="90"/>
      <c r="C53" s="90"/>
      <c r="D53" s="90"/>
      <c r="E53" s="90"/>
      <c r="F53" s="90"/>
    </row>
    <row r="54" spans="2:6" ht="16.5" x14ac:dyDescent="0.3">
      <c r="B54" s="90"/>
      <c r="C54" s="90"/>
      <c r="D54" s="90"/>
      <c r="E54" s="90"/>
      <c r="F54" s="90"/>
    </row>
    <row r="55" spans="2:6" ht="16.5" x14ac:dyDescent="0.3">
      <c r="B55" s="90"/>
      <c r="C55" s="90"/>
      <c r="D55" s="90"/>
      <c r="E55" s="90"/>
      <c r="F55" s="90"/>
    </row>
    <row r="56" spans="2:6" ht="16.5" x14ac:dyDescent="0.3">
      <c r="B56" s="90"/>
      <c r="C56" s="90"/>
      <c r="D56" s="90"/>
      <c r="E56" s="90"/>
      <c r="F56" s="90"/>
    </row>
    <row r="57" spans="2:6" ht="16.5" x14ac:dyDescent="0.3">
      <c r="B57" s="90"/>
      <c r="C57" s="90"/>
      <c r="D57" s="90"/>
      <c r="E57" s="90"/>
      <c r="F57" s="90"/>
    </row>
    <row r="58" spans="2:6" ht="16.5" x14ac:dyDescent="0.3">
      <c r="B58" s="90"/>
      <c r="C58" s="90"/>
      <c r="D58" s="90"/>
      <c r="E58" s="90"/>
      <c r="F58" s="90"/>
    </row>
    <row r="59" spans="2:6" ht="16.5" x14ac:dyDescent="0.3">
      <c r="B59" s="90"/>
      <c r="C59" s="90"/>
      <c r="D59" s="90"/>
      <c r="E59" s="90"/>
      <c r="F59" s="90"/>
    </row>
    <row r="60" spans="2:6" ht="16.5" x14ac:dyDescent="0.3">
      <c r="B60" s="90"/>
      <c r="C60" s="90"/>
      <c r="D60" s="90"/>
      <c r="E60" s="90"/>
      <c r="F60" s="90"/>
    </row>
    <row r="61" spans="2:6" ht="16.5" x14ac:dyDescent="0.3">
      <c r="B61" s="90"/>
      <c r="C61" s="90"/>
      <c r="D61" s="90"/>
      <c r="E61" s="90"/>
      <c r="F61" s="90"/>
    </row>
    <row r="62" spans="2:6" ht="16.5" x14ac:dyDescent="0.3">
      <c r="B62" s="90"/>
      <c r="C62" s="90"/>
      <c r="D62" s="90"/>
      <c r="E62" s="90"/>
      <c r="F62" s="90"/>
    </row>
    <row r="63" spans="2:6" ht="16.5" x14ac:dyDescent="0.3">
      <c r="B63" s="90"/>
      <c r="C63" s="90"/>
      <c r="D63" s="90"/>
      <c r="E63" s="90"/>
      <c r="F63" s="90"/>
    </row>
    <row r="64" spans="2:6" ht="16.5" x14ac:dyDescent="0.3">
      <c r="B64" s="90"/>
      <c r="C64" s="90"/>
      <c r="D64" s="90"/>
      <c r="E64" s="90"/>
      <c r="F64" s="90"/>
    </row>
    <row r="65" spans="2:6" ht="16.5" x14ac:dyDescent="0.3">
      <c r="B65" s="90"/>
      <c r="C65" s="90"/>
      <c r="D65" s="90"/>
      <c r="E65" s="90"/>
      <c r="F65" s="90"/>
    </row>
    <row r="66" spans="2:6" ht="16.5" x14ac:dyDescent="0.3">
      <c r="B66" s="90"/>
      <c r="C66" s="90"/>
      <c r="D66" s="90"/>
      <c r="E66" s="90"/>
      <c r="F66" s="90"/>
    </row>
    <row r="67" spans="2:6" ht="16.5" x14ac:dyDescent="0.3">
      <c r="B67" s="90"/>
      <c r="C67" s="90"/>
      <c r="D67" s="90"/>
      <c r="E67" s="90"/>
      <c r="F67" s="90"/>
    </row>
    <row r="68" spans="2:6" ht="16.5" x14ac:dyDescent="0.3">
      <c r="B68" s="90"/>
      <c r="C68" s="90"/>
      <c r="D68" s="90"/>
      <c r="E68" s="90"/>
      <c r="F68" s="90"/>
    </row>
    <row r="69" spans="2:6" ht="16.5" x14ac:dyDescent="0.3">
      <c r="B69" s="90"/>
      <c r="C69" s="90"/>
      <c r="D69" s="90"/>
      <c r="E69" s="90"/>
      <c r="F69" s="90"/>
    </row>
    <row r="70" spans="2:6" ht="16.5" x14ac:dyDescent="0.3">
      <c r="B70" s="90"/>
      <c r="C70" s="90"/>
      <c r="D70" s="90"/>
      <c r="E70" s="90"/>
      <c r="F70" s="90"/>
    </row>
    <row r="71" spans="2:6" ht="16.5" x14ac:dyDescent="0.3">
      <c r="B71" s="90"/>
      <c r="C71" s="90"/>
      <c r="D71" s="90"/>
      <c r="E71" s="90"/>
      <c r="F71" s="90"/>
    </row>
    <row r="72" spans="2:6" ht="16.5" x14ac:dyDescent="0.3">
      <c r="B72" s="90"/>
      <c r="C72" s="90"/>
      <c r="D72" s="90"/>
      <c r="E72" s="90"/>
      <c r="F72" s="90"/>
    </row>
    <row r="73" spans="2:6" ht="16.5" x14ac:dyDescent="0.3">
      <c r="B73" s="90"/>
      <c r="C73" s="90"/>
      <c r="D73" s="90"/>
      <c r="E73" s="90"/>
      <c r="F73" s="90"/>
    </row>
    <row r="74" spans="2:6" ht="16.5" x14ac:dyDescent="0.3">
      <c r="B74" s="90"/>
      <c r="C74" s="90"/>
      <c r="D74" s="90"/>
      <c r="E74" s="90"/>
      <c r="F74" s="90"/>
    </row>
    <row r="75" spans="2:6" ht="16.5" x14ac:dyDescent="0.3">
      <c r="B75" s="90"/>
      <c r="C75" s="90"/>
      <c r="D75" s="90"/>
      <c r="E75" s="90"/>
      <c r="F75" s="90"/>
    </row>
    <row r="76" spans="2:6" ht="16.5" x14ac:dyDescent="0.3">
      <c r="B76" s="90"/>
      <c r="C76" s="90"/>
      <c r="D76" s="90"/>
      <c r="E76" s="90"/>
      <c r="F76" s="90"/>
    </row>
    <row r="77" spans="2:6" ht="16.5" x14ac:dyDescent="0.3">
      <c r="B77" s="90"/>
      <c r="C77" s="90"/>
      <c r="D77" s="90"/>
      <c r="E77" s="90"/>
      <c r="F77" s="90"/>
    </row>
    <row r="78" spans="2:6" ht="16.5" x14ac:dyDescent="0.3">
      <c r="B78" s="90"/>
      <c r="C78" s="90"/>
      <c r="D78" s="90"/>
      <c r="E78" s="90"/>
      <c r="F78" s="90"/>
    </row>
    <row r="79" spans="2:6" ht="16.5" x14ac:dyDescent="0.3">
      <c r="B79" s="90"/>
      <c r="C79" s="90"/>
      <c r="D79" s="90"/>
      <c r="E79" s="90"/>
      <c r="F79" s="90"/>
    </row>
    <row r="80" spans="2:6" ht="16.5" x14ac:dyDescent="0.3">
      <c r="B80" s="90"/>
      <c r="C80" s="90"/>
      <c r="D80" s="90"/>
      <c r="E80" s="90"/>
      <c r="F80" s="90"/>
    </row>
    <row r="81" spans="2:6" ht="16.5" x14ac:dyDescent="0.3">
      <c r="B81" s="90"/>
      <c r="C81" s="90"/>
      <c r="D81" s="90"/>
      <c r="E81" s="90"/>
      <c r="F81" s="90"/>
    </row>
    <row r="82" spans="2:6" ht="16.5" x14ac:dyDescent="0.3">
      <c r="B82" s="90"/>
      <c r="C82" s="90"/>
      <c r="D82" s="90"/>
      <c r="E82" s="90"/>
      <c r="F82" s="90"/>
    </row>
    <row r="83" spans="2:6" ht="16.5" x14ac:dyDescent="0.3">
      <c r="B83" s="90"/>
      <c r="C83" s="90"/>
      <c r="D83" s="90"/>
      <c r="E83" s="90"/>
      <c r="F83" s="90"/>
    </row>
    <row r="84" spans="2:6" ht="16.5" x14ac:dyDescent="0.3">
      <c r="B84" s="90"/>
      <c r="C84" s="90"/>
      <c r="D84" s="90"/>
      <c r="E84" s="90"/>
      <c r="F84" s="90"/>
    </row>
    <row r="85" spans="2:6" ht="16.5" x14ac:dyDescent="0.3">
      <c r="B85" s="90"/>
      <c r="C85" s="90"/>
      <c r="D85" s="90"/>
      <c r="E85" s="90"/>
      <c r="F85" s="90"/>
    </row>
    <row r="86" spans="2:6" ht="16.5" x14ac:dyDescent="0.3">
      <c r="B86" s="90"/>
      <c r="C86" s="90"/>
      <c r="D86" s="90"/>
      <c r="E86" s="90"/>
      <c r="F86" s="90"/>
    </row>
    <row r="87" spans="2:6" ht="16.5" x14ac:dyDescent="0.3">
      <c r="B87" s="90"/>
      <c r="C87" s="90"/>
      <c r="D87" s="90"/>
      <c r="E87" s="90"/>
      <c r="F87" s="90"/>
    </row>
    <row r="88" spans="2:6" ht="16.5" x14ac:dyDescent="0.3">
      <c r="B88" s="90"/>
      <c r="C88" s="90"/>
      <c r="D88" s="90"/>
      <c r="E88" s="90"/>
      <c r="F88" s="90"/>
    </row>
    <row r="89" spans="2:6" ht="16.5" x14ac:dyDescent="0.3">
      <c r="B89" s="90"/>
      <c r="C89" s="90"/>
      <c r="D89" s="90"/>
      <c r="E89" s="90"/>
      <c r="F89" s="90"/>
    </row>
    <row r="90" spans="2:6" ht="16.5" x14ac:dyDescent="0.3">
      <c r="B90" s="90"/>
      <c r="C90" s="90"/>
      <c r="D90" s="90"/>
      <c r="E90" s="90"/>
      <c r="F90" s="90"/>
    </row>
    <row r="91" spans="2:6" ht="16.5" x14ac:dyDescent="0.3">
      <c r="B91" s="90"/>
      <c r="C91" s="90"/>
      <c r="D91" s="90"/>
      <c r="E91" s="90"/>
      <c r="F91" s="90"/>
    </row>
    <row r="92" spans="2:6" ht="16.5" x14ac:dyDescent="0.3">
      <c r="B92" s="90"/>
      <c r="C92" s="90"/>
      <c r="D92" s="90"/>
      <c r="E92" s="90"/>
      <c r="F92" s="90"/>
    </row>
    <row r="93" spans="2:6" ht="16.5" x14ac:dyDescent="0.3">
      <c r="B93" s="90"/>
      <c r="C93" s="90"/>
      <c r="D93" s="90"/>
      <c r="E93" s="90"/>
      <c r="F93" s="90"/>
    </row>
    <row r="94" spans="2:6" ht="16.5" x14ac:dyDescent="0.3">
      <c r="B94" s="90"/>
      <c r="C94" s="90"/>
      <c r="D94" s="90"/>
      <c r="E94" s="90"/>
      <c r="F94" s="90"/>
    </row>
    <row r="95" spans="2:6" ht="16.5" x14ac:dyDescent="0.3">
      <c r="B95" s="90"/>
      <c r="C95" s="90"/>
      <c r="D95" s="90"/>
      <c r="E95" s="90"/>
      <c r="F95" s="90"/>
    </row>
    <row r="96" spans="2:6" ht="16.5" x14ac:dyDescent="0.3">
      <c r="B96" s="90"/>
      <c r="C96" s="90"/>
      <c r="D96" s="90"/>
      <c r="E96" s="90"/>
      <c r="F96" s="90"/>
    </row>
    <row r="97" spans="2:6" ht="16.5" x14ac:dyDescent="0.3">
      <c r="B97" s="90"/>
      <c r="C97" s="90"/>
      <c r="D97" s="90"/>
      <c r="E97" s="90"/>
      <c r="F97" s="90"/>
    </row>
    <row r="98" spans="2:6" ht="16.5" x14ac:dyDescent="0.3">
      <c r="B98" s="90"/>
      <c r="C98" s="90"/>
      <c r="D98" s="90"/>
      <c r="E98" s="90"/>
      <c r="F98" s="90"/>
    </row>
    <row r="99" spans="2:6" ht="16.5" x14ac:dyDescent="0.3">
      <c r="B99" s="90"/>
      <c r="C99" s="90"/>
      <c r="D99" s="90"/>
      <c r="E99" s="90"/>
      <c r="F99" s="90"/>
    </row>
    <row r="100" spans="2:6" ht="16.5" x14ac:dyDescent="0.3">
      <c r="B100" s="90"/>
      <c r="C100" s="90"/>
      <c r="D100" s="90"/>
      <c r="E100" s="90"/>
      <c r="F100" s="90"/>
    </row>
    <row r="101" spans="2:6" ht="16.5" x14ac:dyDescent="0.3">
      <c r="B101" s="90"/>
      <c r="C101" s="90"/>
      <c r="D101" s="90"/>
      <c r="E101" s="90"/>
      <c r="F101" s="90"/>
    </row>
    <row r="102" spans="2:6" ht="16.5" x14ac:dyDescent="0.3">
      <c r="B102" s="90"/>
      <c r="C102" s="90"/>
      <c r="D102" s="90"/>
      <c r="E102" s="90"/>
      <c r="F102" s="90"/>
    </row>
    <row r="103" spans="2:6" ht="16.5" x14ac:dyDescent="0.3">
      <c r="B103" s="90"/>
      <c r="C103" s="90"/>
      <c r="D103" s="90"/>
      <c r="E103" s="90"/>
      <c r="F103" s="90"/>
    </row>
    <row r="104" spans="2:6" ht="16.5" x14ac:dyDescent="0.3">
      <c r="B104" s="90"/>
      <c r="C104" s="90"/>
      <c r="D104" s="90"/>
      <c r="E104" s="90"/>
      <c r="F104" s="90"/>
    </row>
    <row r="105" spans="2:6" ht="16.5" x14ac:dyDescent="0.3">
      <c r="B105" s="90"/>
      <c r="C105" s="90"/>
      <c r="D105" s="90"/>
      <c r="E105" s="90"/>
      <c r="F105" s="90"/>
    </row>
    <row r="106" spans="2:6" ht="16.5" x14ac:dyDescent="0.3">
      <c r="B106" s="90"/>
      <c r="C106" s="90"/>
      <c r="D106" s="90"/>
      <c r="E106" s="90"/>
      <c r="F106" s="90"/>
    </row>
    <row r="107" spans="2:6" ht="16.5" x14ac:dyDescent="0.3">
      <c r="B107" s="90"/>
      <c r="C107" s="90"/>
      <c r="D107" s="90"/>
      <c r="E107" s="90"/>
      <c r="F107" s="90"/>
    </row>
    <row r="108" spans="2:6" ht="16.5" x14ac:dyDescent="0.3">
      <c r="B108" s="90"/>
      <c r="C108" s="90"/>
      <c r="D108" s="90"/>
      <c r="E108" s="90"/>
      <c r="F108" s="90"/>
    </row>
    <row r="109" spans="2:6" ht="16.5" x14ac:dyDescent="0.3">
      <c r="B109" s="90"/>
      <c r="C109" s="90"/>
      <c r="D109" s="90"/>
      <c r="E109" s="90"/>
      <c r="F109" s="90"/>
    </row>
    <row r="110" spans="2:6" ht="16.5" x14ac:dyDescent="0.3">
      <c r="B110" s="90"/>
      <c r="C110" s="90"/>
      <c r="D110" s="90"/>
      <c r="E110" s="90"/>
      <c r="F110" s="90"/>
    </row>
    <row r="111" spans="2:6" ht="16.5" x14ac:dyDescent="0.3">
      <c r="B111" s="90"/>
      <c r="C111" s="90"/>
      <c r="D111" s="90"/>
      <c r="E111" s="90"/>
      <c r="F111" s="90"/>
    </row>
    <row r="112" spans="2:6" ht="16.5" x14ac:dyDescent="0.3">
      <c r="B112" s="90"/>
      <c r="C112" s="90"/>
      <c r="D112" s="90"/>
      <c r="E112" s="90"/>
      <c r="F112" s="90"/>
    </row>
    <row r="113" spans="2:6" ht="16.5" x14ac:dyDescent="0.3">
      <c r="B113" s="90"/>
      <c r="C113" s="90"/>
      <c r="D113" s="90"/>
      <c r="E113" s="90"/>
      <c r="F113" s="90"/>
    </row>
    <row r="114" spans="2:6" ht="16.5" x14ac:dyDescent="0.3">
      <c r="B114" s="90"/>
      <c r="C114" s="90"/>
      <c r="D114" s="90"/>
      <c r="E114" s="90"/>
      <c r="F114" s="90"/>
    </row>
    <row r="115" spans="2:6" ht="16.5" x14ac:dyDescent="0.3">
      <c r="B115" s="90"/>
      <c r="C115" s="90"/>
      <c r="D115" s="90"/>
      <c r="E115" s="90"/>
      <c r="F115" s="90"/>
    </row>
    <row r="116" spans="2:6" ht="16.5" x14ac:dyDescent="0.3">
      <c r="B116" s="90"/>
      <c r="C116" s="90"/>
      <c r="D116" s="90"/>
      <c r="E116" s="90"/>
      <c r="F116" s="90"/>
    </row>
    <row r="117" spans="2:6" ht="16.5" x14ac:dyDescent="0.3">
      <c r="B117" s="90"/>
      <c r="C117" s="90"/>
      <c r="D117" s="90"/>
      <c r="E117" s="90"/>
      <c r="F117" s="90"/>
    </row>
    <row r="118" spans="2:6" ht="16.5" x14ac:dyDescent="0.3">
      <c r="B118" s="90"/>
      <c r="C118" s="90"/>
      <c r="D118" s="90"/>
      <c r="E118" s="90"/>
      <c r="F118" s="90"/>
    </row>
    <row r="119" spans="2:6" ht="16.5" x14ac:dyDescent="0.3">
      <c r="B119" s="90"/>
      <c r="C119" s="90"/>
      <c r="D119" s="90"/>
      <c r="E119" s="90"/>
      <c r="F119" s="90"/>
    </row>
    <row r="120" spans="2:6" ht="16.5" x14ac:dyDescent="0.3">
      <c r="B120" s="90"/>
      <c r="C120" s="90"/>
      <c r="D120" s="90"/>
      <c r="E120" s="90"/>
      <c r="F120" s="90"/>
    </row>
    <row r="121" spans="2:6" ht="16.5" x14ac:dyDescent="0.3">
      <c r="B121" s="90"/>
      <c r="C121" s="90"/>
      <c r="D121" s="90"/>
      <c r="E121" s="90"/>
      <c r="F121" s="90"/>
    </row>
    <row r="122" spans="2:6" ht="16.5" x14ac:dyDescent="0.3">
      <c r="B122" s="90"/>
      <c r="C122" s="90"/>
      <c r="D122" s="90"/>
      <c r="E122" s="90"/>
      <c r="F122" s="90"/>
    </row>
    <row r="123" spans="2:6" ht="16.5" x14ac:dyDescent="0.3">
      <c r="B123" s="90"/>
      <c r="C123" s="90"/>
      <c r="D123" s="90"/>
      <c r="E123" s="90"/>
      <c r="F123" s="90"/>
    </row>
    <row r="124" spans="2:6" ht="16.5" x14ac:dyDescent="0.3">
      <c r="B124" s="90"/>
      <c r="C124" s="90"/>
      <c r="D124" s="90"/>
      <c r="E124" s="90"/>
      <c r="F124" s="90"/>
    </row>
    <row r="125" spans="2:6" ht="16.5" x14ac:dyDescent="0.3">
      <c r="B125" s="90"/>
      <c r="C125" s="90"/>
      <c r="D125" s="90"/>
      <c r="E125" s="90"/>
      <c r="F125" s="90"/>
    </row>
    <row r="126" spans="2:6" ht="16.5" x14ac:dyDescent="0.3">
      <c r="B126" s="90"/>
      <c r="C126" s="90"/>
      <c r="D126" s="90"/>
      <c r="E126" s="90"/>
      <c r="F126" s="90"/>
    </row>
    <row r="127" spans="2:6" ht="16.5" x14ac:dyDescent="0.3">
      <c r="B127" s="90"/>
      <c r="C127" s="90"/>
      <c r="D127" s="90"/>
      <c r="E127" s="90"/>
      <c r="F127" s="90"/>
    </row>
    <row r="128" spans="2:6" ht="16.5" x14ac:dyDescent="0.3">
      <c r="B128" s="90"/>
      <c r="C128" s="90"/>
      <c r="D128" s="90"/>
      <c r="E128" s="90"/>
      <c r="F128" s="90"/>
    </row>
    <row r="129" spans="2:6" ht="16.5" x14ac:dyDescent="0.3">
      <c r="B129" s="90"/>
      <c r="C129" s="90"/>
      <c r="D129" s="90"/>
      <c r="E129" s="90"/>
      <c r="F129" s="90"/>
    </row>
    <row r="130" spans="2:6" ht="16.5" x14ac:dyDescent="0.3">
      <c r="B130" s="90"/>
      <c r="C130" s="90"/>
      <c r="D130" s="90"/>
      <c r="E130" s="90"/>
      <c r="F130" s="90"/>
    </row>
    <row r="131" spans="2:6" ht="16.5" x14ac:dyDescent="0.3">
      <c r="B131" s="90"/>
      <c r="C131" s="90"/>
      <c r="D131" s="90"/>
      <c r="E131" s="90"/>
      <c r="F131" s="90"/>
    </row>
    <row r="132" spans="2:6" ht="16.5" x14ac:dyDescent="0.3">
      <c r="B132" s="90"/>
      <c r="C132" s="90"/>
      <c r="D132" s="90"/>
      <c r="E132" s="90"/>
      <c r="F132" s="90"/>
    </row>
    <row r="133" spans="2:6" ht="16.5" x14ac:dyDescent="0.3">
      <c r="B133" s="90"/>
      <c r="C133" s="90"/>
      <c r="D133" s="90"/>
      <c r="E133" s="90"/>
      <c r="F133" s="90"/>
    </row>
    <row r="134" spans="2:6" ht="16.5" x14ac:dyDescent="0.3">
      <c r="B134" s="90"/>
      <c r="C134" s="90"/>
      <c r="D134" s="90"/>
      <c r="E134" s="90"/>
      <c r="F134" s="90"/>
    </row>
    <row r="135" spans="2:6" ht="16.5" x14ac:dyDescent="0.3">
      <c r="B135" s="90"/>
      <c r="C135" s="90"/>
      <c r="D135" s="90"/>
      <c r="E135" s="90"/>
      <c r="F135" s="90"/>
    </row>
    <row r="136" spans="2:6" ht="16.5" x14ac:dyDescent="0.3">
      <c r="B136" s="90"/>
      <c r="C136" s="90"/>
      <c r="D136" s="90"/>
      <c r="E136" s="90"/>
      <c r="F136" s="90"/>
    </row>
    <row r="137" spans="2:6" ht="16.5" x14ac:dyDescent="0.3">
      <c r="B137" s="90"/>
      <c r="C137" s="90"/>
      <c r="D137" s="90"/>
      <c r="E137" s="90"/>
      <c r="F137" s="90"/>
    </row>
    <row r="138" spans="2:6" ht="16.5" x14ac:dyDescent="0.3">
      <c r="B138" s="90"/>
      <c r="C138" s="90"/>
      <c r="D138" s="90"/>
      <c r="E138" s="90"/>
      <c r="F138" s="90"/>
    </row>
    <row r="139" spans="2:6" ht="16.5" x14ac:dyDescent="0.3">
      <c r="B139" s="90"/>
      <c r="C139" s="90"/>
      <c r="D139" s="90"/>
      <c r="E139" s="90"/>
      <c r="F139" s="90"/>
    </row>
    <row r="140" spans="2:6" ht="16.5" x14ac:dyDescent="0.3">
      <c r="B140" s="90"/>
      <c r="C140" s="90"/>
      <c r="D140" s="90"/>
      <c r="E140" s="90"/>
      <c r="F140" s="90"/>
    </row>
    <row r="141" spans="2:6" ht="16.5" x14ac:dyDescent="0.3">
      <c r="B141" s="90"/>
      <c r="C141" s="90"/>
      <c r="D141" s="90"/>
      <c r="E141" s="90"/>
      <c r="F141" s="90"/>
    </row>
    <row r="142" spans="2:6" ht="16.5" x14ac:dyDescent="0.3">
      <c r="B142" s="90"/>
      <c r="C142" s="90"/>
      <c r="D142" s="90"/>
      <c r="E142" s="90"/>
      <c r="F142" s="90"/>
    </row>
    <row r="143" spans="2:6" ht="16.5" x14ac:dyDescent="0.3">
      <c r="B143" s="90"/>
      <c r="C143" s="90"/>
      <c r="D143" s="90"/>
      <c r="E143" s="90"/>
      <c r="F143" s="90"/>
    </row>
    <row r="144" spans="2:6" ht="16.5" x14ac:dyDescent="0.3">
      <c r="B144" s="90"/>
      <c r="C144" s="90"/>
      <c r="D144" s="90"/>
      <c r="E144" s="90"/>
      <c r="F144" s="90"/>
    </row>
    <row r="145" spans="2:6" ht="16.5" x14ac:dyDescent="0.3">
      <c r="B145" s="90"/>
      <c r="C145" s="90"/>
      <c r="D145" s="90"/>
      <c r="E145" s="90"/>
      <c r="F145" s="90"/>
    </row>
    <row r="146" spans="2:6" ht="16.5" x14ac:dyDescent="0.3">
      <c r="B146" s="90"/>
      <c r="C146" s="90"/>
      <c r="D146" s="90"/>
      <c r="E146" s="90"/>
      <c r="F146" s="90"/>
    </row>
    <row r="147" spans="2:6" ht="16.5" x14ac:dyDescent="0.3">
      <c r="B147" s="90"/>
      <c r="C147" s="90"/>
      <c r="D147" s="90"/>
      <c r="E147" s="90"/>
      <c r="F147" s="90"/>
    </row>
    <row r="148" spans="2:6" ht="16.5" x14ac:dyDescent="0.3">
      <c r="B148" s="90"/>
      <c r="C148" s="90"/>
      <c r="D148" s="90"/>
      <c r="E148" s="90"/>
      <c r="F148" s="90"/>
    </row>
    <row r="149" spans="2:6" ht="16.5" x14ac:dyDescent="0.3">
      <c r="B149" s="90"/>
      <c r="C149" s="90"/>
      <c r="D149" s="90"/>
      <c r="E149" s="90"/>
      <c r="F149" s="90"/>
    </row>
    <row r="150" spans="2:6" ht="16.5" x14ac:dyDescent="0.3">
      <c r="B150" s="90"/>
      <c r="C150" s="90"/>
      <c r="D150" s="90"/>
      <c r="E150" s="90"/>
      <c r="F150" s="90"/>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A95AD-4DCA-4F23-B841-B8419749550B}">
  <dimension ref="A1:U426"/>
  <sheetViews>
    <sheetView zoomScale="90" zoomScaleNormal="90" workbookViewId="0">
      <selection activeCell="J12" sqref="J12"/>
    </sheetView>
  </sheetViews>
  <sheetFormatPr defaultRowHeight="15" x14ac:dyDescent="0.25"/>
  <cols>
    <col min="8" max="8" width="15" customWidth="1"/>
    <col min="12" max="12" width="11.7109375" customWidth="1"/>
    <col min="13" max="14" width="12" customWidth="1"/>
    <col min="18" max="18" width="15.42578125" bestFit="1" customWidth="1"/>
    <col min="19" max="19" width="17.5703125" bestFit="1" customWidth="1"/>
  </cols>
  <sheetData>
    <row r="1" spans="1:21" s="27" customFormat="1" x14ac:dyDescent="0.25">
      <c r="A1" s="27" t="s">
        <v>286</v>
      </c>
      <c r="B1" s="27" t="s">
        <v>272</v>
      </c>
      <c r="C1" s="27" t="s">
        <v>287</v>
      </c>
      <c r="D1" s="27" t="s">
        <v>288</v>
      </c>
      <c r="E1" s="27" t="s">
        <v>289</v>
      </c>
      <c r="F1" s="27" t="s">
        <v>290</v>
      </c>
      <c r="G1" s="27" t="s">
        <v>291</v>
      </c>
      <c r="H1" s="27" t="s">
        <v>292</v>
      </c>
      <c r="I1" s="27" t="s">
        <v>293</v>
      </c>
      <c r="J1" s="27" t="s">
        <v>294</v>
      </c>
      <c r="K1" s="27" t="s">
        <v>295</v>
      </c>
      <c r="L1" s="27" t="s">
        <v>296</v>
      </c>
      <c r="M1" s="27" t="s">
        <v>297</v>
      </c>
      <c r="N1" s="27" t="s">
        <v>298</v>
      </c>
      <c r="O1" s="27" t="s">
        <v>299</v>
      </c>
      <c r="P1" s="27" t="s">
        <v>300</v>
      </c>
      <c r="Q1" s="27" t="s">
        <v>301</v>
      </c>
      <c r="R1" s="27" t="s">
        <v>302</v>
      </c>
      <c r="S1" s="27" t="s">
        <v>303</v>
      </c>
      <c r="T1" s="27" t="s">
        <v>304</v>
      </c>
      <c r="U1" s="27" t="s">
        <v>305</v>
      </c>
    </row>
    <row r="2" spans="1:21" x14ac:dyDescent="0.25">
      <c r="A2" t="s">
        <v>209</v>
      </c>
      <c r="B2">
        <v>4.9800000000000004</v>
      </c>
      <c r="C2">
        <v>-10.81</v>
      </c>
      <c r="D2">
        <v>0.71</v>
      </c>
      <c r="E2">
        <v>0.61</v>
      </c>
      <c r="F2" s="25">
        <v>0</v>
      </c>
      <c r="G2">
        <v>0.26500000000000001</v>
      </c>
      <c r="H2">
        <v>-60.14</v>
      </c>
      <c r="I2">
        <v>6.14</v>
      </c>
      <c r="J2">
        <v>-0.75</v>
      </c>
      <c r="K2" s="26">
        <v>10.53</v>
      </c>
      <c r="L2">
        <v>5.63</v>
      </c>
      <c r="M2" s="25">
        <v>9.9400000000000002E-2</v>
      </c>
      <c r="N2" s="25">
        <v>-4.9500000000000002E-2</v>
      </c>
      <c r="O2">
        <v>0.98</v>
      </c>
      <c r="P2" s="25">
        <v>4.7399999999999998E-2</v>
      </c>
      <c r="Q2" s="25">
        <v>-6.5299999999999997E-2</v>
      </c>
      <c r="R2" s="26">
        <v>469754</v>
      </c>
      <c r="S2" s="26">
        <v>1074970000</v>
      </c>
      <c r="T2">
        <v>0.62</v>
      </c>
      <c r="U2" s="25">
        <v>5.3199999999999997E-2</v>
      </c>
    </row>
    <row r="3" spans="1:21" x14ac:dyDescent="0.25">
      <c r="A3" t="s">
        <v>36</v>
      </c>
      <c r="B3">
        <v>21.06</v>
      </c>
      <c r="C3">
        <v>5.29</v>
      </c>
      <c r="D3">
        <v>0.8</v>
      </c>
      <c r="E3">
        <v>0</v>
      </c>
      <c r="F3" s="25">
        <v>7.8100000000000003E-2</v>
      </c>
      <c r="G3">
        <v>0</v>
      </c>
      <c r="H3">
        <v>0</v>
      </c>
      <c r="I3">
        <v>0</v>
      </c>
      <c r="J3">
        <v>0</v>
      </c>
      <c r="K3">
        <v>0</v>
      </c>
      <c r="L3">
        <v>0</v>
      </c>
      <c r="M3" s="25">
        <v>0</v>
      </c>
      <c r="N3" s="25">
        <v>0</v>
      </c>
      <c r="O3">
        <v>0</v>
      </c>
      <c r="P3" s="25">
        <v>0</v>
      </c>
      <c r="Q3" s="25">
        <v>0.15049999999999999</v>
      </c>
      <c r="R3" s="26">
        <v>9861250</v>
      </c>
      <c r="S3" s="26">
        <v>6472310000</v>
      </c>
      <c r="T3">
        <v>0</v>
      </c>
      <c r="U3" s="25">
        <v>0.30580000000000002</v>
      </c>
    </row>
    <row r="4" spans="1:21" x14ac:dyDescent="0.25">
      <c r="A4" t="s">
        <v>7</v>
      </c>
      <c r="B4">
        <v>13.64</v>
      </c>
      <c r="C4">
        <v>14.9</v>
      </c>
      <c r="D4">
        <v>2.27</v>
      </c>
      <c r="E4">
        <v>2.3450000000000002</v>
      </c>
      <c r="F4" s="25">
        <v>6.7699999999999996E-2</v>
      </c>
      <c r="G4">
        <v>1.46</v>
      </c>
      <c r="H4">
        <v>51.1</v>
      </c>
      <c r="I4">
        <v>10.62</v>
      </c>
      <c r="J4">
        <v>-25.99</v>
      </c>
      <c r="K4">
        <v>9.77</v>
      </c>
      <c r="L4">
        <v>7.31</v>
      </c>
      <c r="M4" s="25">
        <v>0.22090000000000001</v>
      </c>
      <c r="N4" s="25">
        <v>0.16200000000000001</v>
      </c>
      <c r="O4">
        <v>1.1100000000000001</v>
      </c>
      <c r="P4" s="25">
        <v>0.19189999999999999</v>
      </c>
      <c r="Q4" s="25">
        <v>0.1527</v>
      </c>
      <c r="R4" s="26">
        <v>370197000</v>
      </c>
      <c r="S4" s="26">
        <v>94528300000</v>
      </c>
      <c r="T4">
        <v>0.03</v>
      </c>
      <c r="U4" s="25">
        <v>8.6699999999999999E-2</v>
      </c>
    </row>
    <row r="5" spans="1:21" x14ac:dyDescent="0.25">
      <c r="A5" t="s">
        <v>306</v>
      </c>
      <c r="B5">
        <v>1.56</v>
      </c>
      <c r="C5">
        <v>-4.09</v>
      </c>
      <c r="D5">
        <v>-1.29</v>
      </c>
      <c r="E5">
        <v>770.92399999999998</v>
      </c>
      <c r="F5" s="25">
        <v>0</v>
      </c>
      <c r="G5">
        <v>105.126</v>
      </c>
      <c r="H5">
        <v>-1.43</v>
      </c>
      <c r="I5" s="26">
        <v>-5.69</v>
      </c>
      <c r="J5">
        <v>-1.27</v>
      </c>
      <c r="K5" s="26">
        <v>-5.69</v>
      </c>
      <c r="L5">
        <v>-5.81</v>
      </c>
      <c r="M5" s="25">
        <v>-135.48500000000001</v>
      </c>
      <c r="N5" s="25">
        <v>-188.60599999999999</v>
      </c>
      <c r="O5">
        <v>0</v>
      </c>
      <c r="P5" s="25">
        <v>5.2169999999999996</v>
      </c>
      <c r="Q5" s="25">
        <v>0.31469999999999998</v>
      </c>
      <c r="R5" s="26">
        <v>2064</v>
      </c>
      <c r="S5" s="26">
        <v>-19776000</v>
      </c>
      <c r="T5">
        <v>0</v>
      </c>
      <c r="U5" s="25">
        <v>0.43480000000000002</v>
      </c>
    </row>
    <row r="6" spans="1:21" x14ac:dyDescent="0.25">
      <c r="A6" t="s">
        <v>307</v>
      </c>
      <c r="B6">
        <v>4.04</v>
      </c>
      <c r="C6">
        <v>-0.25</v>
      </c>
      <c r="D6">
        <v>2.2599999999999998</v>
      </c>
      <c r="E6">
        <v>0.20699999999999999</v>
      </c>
      <c r="F6" s="25">
        <v>0</v>
      </c>
      <c r="G6">
        <v>0.11899999999999999</v>
      </c>
      <c r="H6">
        <v>-28.5</v>
      </c>
      <c r="I6">
        <v>-0.35</v>
      </c>
      <c r="J6">
        <v>-0.21</v>
      </c>
      <c r="K6">
        <v>-2.4500000000000002</v>
      </c>
      <c r="L6">
        <v>-2.87</v>
      </c>
      <c r="M6" s="25">
        <v>-0.59119999999999995</v>
      </c>
      <c r="N6" s="25">
        <v>-0.81510000000000005</v>
      </c>
      <c r="O6">
        <v>0.99</v>
      </c>
      <c r="P6" s="25">
        <v>-0.37409999999999999</v>
      </c>
      <c r="Q6" s="25">
        <v>-8.8948</v>
      </c>
      <c r="R6" s="26">
        <v>1418880</v>
      </c>
      <c r="S6" s="26">
        <v>111006000</v>
      </c>
      <c r="T6">
        <v>14.59</v>
      </c>
      <c r="U6" s="25">
        <v>-0.18770000000000001</v>
      </c>
    </row>
    <row r="7" spans="1:21" x14ac:dyDescent="0.25">
      <c r="A7" t="s">
        <v>308</v>
      </c>
      <c r="B7">
        <v>7.24</v>
      </c>
      <c r="C7">
        <v>14.91</v>
      </c>
      <c r="D7">
        <v>1.78</v>
      </c>
      <c r="E7">
        <v>5.6070000000000002</v>
      </c>
      <c r="F7" s="25">
        <v>7.4499999999999997E-2</v>
      </c>
      <c r="G7">
        <v>1.321</v>
      </c>
      <c r="H7">
        <v>7.48</v>
      </c>
      <c r="I7">
        <v>11.68</v>
      </c>
      <c r="J7">
        <v>-40.799999999999997</v>
      </c>
      <c r="K7">
        <v>12.07</v>
      </c>
      <c r="L7">
        <v>12.02</v>
      </c>
      <c r="M7" s="25">
        <v>0.47989999999999999</v>
      </c>
      <c r="N7" s="25">
        <v>0.37609999999999999</v>
      </c>
      <c r="O7">
        <v>4.76</v>
      </c>
      <c r="P7" s="25">
        <v>0.1193</v>
      </c>
      <c r="Q7" s="25">
        <v>0.1191</v>
      </c>
      <c r="R7" s="26">
        <v>2298.9299999999998</v>
      </c>
      <c r="S7" s="26">
        <v>257167000</v>
      </c>
      <c r="T7">
        <v>0.11</v>
      </c>
      <c r="U7" s="25">
        <v>9.4200000000000006E-2</v>
      </c>
    </row>
    <row r="8" spans="1:21" x14ac:dyDescent="0.25">
      <c r="A8" t="s">
        <v>45</v>
      </c>
      <c r="B8">
        <v>20.82</v>
      </c>
      <c r="C8">
        <v>6.91</v>
      </c>
      <c r="D8">
        <v>0.99</v>
      </c>
      <c r="E8">
        <v>1.5780000000000001</v>
      </c>
      <c r="F8" s="25">
        <v>7.4700000000000003E-2</v>
      </c>
      <c r="G8">
        <v>0.53800000000000003</v>
      </c>
      <c r="H8">
        <v>4.62</v>
      </c>
      <c r="I8">
        <v>5.27</v>
      </c>
      <c r="J8">
        <v>-3.9</v>
      </c>
      <c r="K8">
        <v>8.36</v>
      </c>
      <c r="L8">
        <v>6.98</v>
      </c>
      <c r="M8" s="25">
        <v>0.29959999999999998</v>
      </c>
      <c r="N8" s="25">
        <v>0.22850000000000001</v>
      </c>
      <c r="O8">
        <v>1.58</v>
      </c>
      <c r="P8" s="25">
        <v>0.1113</v>
      </c>
      <c r="Q8" s="25">
        <v>0.14269999999999999</v>
      </c>
      <c r="R8" s="26">
        <v>3513040</v>
      </c>
      <c r="S8" s="26">
        <v>2169900000</v>
      </c>
      <c r="T8">
        <v>0.62</v>
      </c>
      <c r="U8" s="25">
        <v>-4.7000000000000002E-3</v>
      </c>
    </row>
    <row r="9" spans="1:21" x14ac:dyDescent="0.25">
      <c r="A9" t="s">
        <v>309</v>
      </c>
      <c r="B9">
        <v>6.51</v>
      </c>
      <c r="C9">
        <v>-0.04</v>
      </c>
      <c r="D9">
        <v>-0.05</v>
      </c>
      <c r="E9">
        <v>3.3000000000000002E-2</v>
      </c>
      <c r="F9" s="25">
        <v>0</v>
      </c>
      <c r="G9">
        <v>3.2000000000000001E-2</v>
      </c>
      <c r="H9">
        <v>-0.03</v>
      </c>
      <c r="I9">
        <v>-7.0000000000000007E-2</v>
      </c>
      <c r="J9">
        <v>-0.03</v>
      </c>
      <c r="K9">
        <v>-0.83</v>
      </c>
      <c r="L9">
        <v>-0.92</v>
      </c>
      <c r="M9" s="25">
        <v>-0.48830000000000001</v>
      </c>
      <c r="N9" s="25">
        <v>-0.877</v>
      </c>
      <c r="O9">
        <v>0.33</v>
      </c>
      <c r="P9" s="25">
        <v>-2.0348000000000002</v>
      </c>
      <c r="Q9" s="25">
        <v>1.4531000000000001</v>
      </c>
      <c r="R9" s="26">
        <v>237325</v>
      </c>
      <c r="S9" s="26">
        <v>-2009680000</v>
      </c>
      <c r="T9">
        <v>-0.75</v>
      </c>
      <c r="U9" s="25">
        <v>-1.4500000000000001E-2</v>
      </c>
    </row>
    <row r="10" spans="1:21" x14ac:dyDescent="0.25">
      <c r="A10" t="s">
        <v>310</v>
      </c>
      <c r="B10">
        <v>45</v>
      </c>
      <c r="C10">
        <v>3.34</v>
      </c>
      <c r="D10">
        <v>1.58</v>
      </c>
      <c r="E10">
        <v>0.55600000000000005</v>
      </c>
      <c r="F10" s="25">
        <v>0</v>
      </c>
      <c r="G10">
        <v>0.69499999999999995</v>
      </c>
      <c r="H10">
        <v>2.19</v>
      </c>
      <c r="I10">
        <v>4.91</v>
      </c>
      <c r="J10">
        <v>-6.6</v>
      </c>
      <c r="K10">
        <v>4.25</v>
      </c>
      <c r="L10">
        <v>3.92</v>
      </c>
      <c r="M10" s="25">
        <v>0.1132</v>
      </c>
      <c r="N10" s="25">
        <v>0.16639999999999999</v>
      </c>
      <c r="O10">
        <v>3.3</v>
      </c>
      <c r="P10" s="25">
        <v>0.17219999999999999</v>
      </c>
      <c r="Q10" s="25">
        <v>0.47449999999999998</v>
      </c>
      <c r="R10" s="26">
        <v>321.43</v>
      </c>
      <c r="S10" s="26">
        <v>242674000</v>
      </c>
      <c r="T10">
        <v>0.02</v>
      </c>
      <c r="U10" s="25">
        <v>0.46410000000000001</v>
      </c>
    </row>
    <row r="11" spans="1:21" x14ac:dyDescent="0.25">
      <c r="A11" t="s">
        <v>311</v>
      </c>
      <c r="B11">
        <v>50</v>
      </c>
      <c r="C11">
        <v>3.71</v>
      </c>
      <c r="D11">
        <v>1.76</v>
      </c>
      <c r="E11">
        <v>0.61699999999999999</v>
      </c>
      <c r="F11" s="25">
        <v>0</v>
      </c>
      <c r="G11">
        <v>0.77300000000000002</v>
      </c>
      <c r="H11">
        <v>2.4300000000000002</v>
      </c>
      <c r="I11">
        <v>5.45</v>
      </c>
      <c r="J11">
        <v>-7.34</v>
      </c>
      <c r="K11">
        <v>4.79</v>
      </c>
      <c r="L11">
        <v>4.42</v>
      </c>
      <c r="M11" s="25">
        <v>0.1132</v>
      </c>
      <c r="N11" s="25">
        <v>0.16639999999999999</v>
      </c>
      <c r="O11">
        <v>3.3</v>
      </c>
      <c r="P11" s="25">
        <v>0.17219999999999999</v>
      </c>
      <c r="Q11" s="25">
        <v>0.47449999999999998</v>
      </c>
      <c r="R11" s="26">
        <v>714.29</v>
      </c>
      <c r="S11" s="26">
        <v>242674000</v>
      </c>
      <c r="T11">
        <v>0.02</v>
      </c>
      <c r="U11" s="25">
        <v>0.46410000000000001</v>
      </c>
    </row>
    <row r="12" spans="1:21" x14ac:dyDescent="0.25">
      <c r="A12" t="s">
        <v>312</v>
      </c>
      <c r="B12">
        <v>55</v>
      </c>
      <c r="C12">
        <v>4.08</v>
      </c>
      <c r="D12">
        <v>1.94</v>
      </c>
      <c r="E12">
        <v>0.67900000000000005</v>
      </c>
      <c r="F12" s="25">
        <v>0</v>
      </c>
      <c r="G12">
        <v>0.85</v>
      </c>
      <c r="H12">
        <v>2.68</v>
      </c>
      <c r="I12">
        <v>6</v>
      </c>
      <c r="J12">
        <v>-8.07</v>
      </c>
      <c r="K12">
        <v>5.34</v>
      </c>
      <c r="L12">
        <v>4.92</v>
      </c>
      <c r="M12" s="25">
        <v>0.1132</v>
      </c>
      <c r="N12" s="25">
        <v>0.16639999999999999</v>
      </c>
      <c r="O12">
        <v>3.3</v>
      </c>
      <c r="P12" s="25">
        <v>0.17219999999999999</v>
      </c>
      <c r="Q12" s="25">
        <v>0.47449999999999998</v>
      </c>
      <c r="R12" s="26">
        <v>261.91000000000003</v>
      </c>
      <c r="S12" s="26">
        <v>242674000</v>
      </c>
      <c r="T12">
        <v>0.02</v>
      </c>
      <c r="U12" s="25">
        <v>0.46410000000000001</v>
      </c>
    </row>
    <row r="13" spans="1:21" x14ac:dyDescent="0.25">
      <c r="A13" t="s">
        <v>57</v>
      </c>
      <c r="B13">
        <v>7.07</v>
      </c>
      <c r="C13">
        <v>6.05</v>
      </c>
      <c r="D13">
        <v>0.42</v>
      </c>
      <c r="E13">
        <v>0.126</v>
      </c>
      <c r="F13" s="25">
        <v>0.1822</v>
      </c>
      <c r="G13">
        <v>0.19500000000000001</v>
      </c>
      <c r="H13">
        <v>0.6</v>
      </c>
      <c r="I13">
        <v>5.51</v>
      </c>
      <c r="J13">
        <v>1.1200000000000001</v>
      </c>
      <c r="K13">
        <v>6.63</v>
      </c>
      <c r="L13">
        <v>4.6399999999999997</v>
      </c>
      <c r="M13" s="25">
        <v>2.29E-2</v>
      </c>
      <c r="N13" s="25">
        <v>2.0799999999999999E-2</v>
      </c>
      <c r="O13">
        <v>1.86</v>
      </c>
      <c r="P13" s="25">
        <v>6.13E-2</v>
      </c>
      <c r="Q13" s="25">
        <v>6.9000000000000006E-2</v>
      </c>
      <c r="R13" s="26">
        <v>434906</v>
      </c>
      <c r="S13" s="26">
        <v>1601680000</v>
      </c>
      <c r="T13">
        <v>0.3</v>
      </c>
      <c r="U13" s="25">
        <v>9.9000000000000008E-3</v>
      </c>
    </row>
    <row r="14" spans="1:21" x14ac:dyDescent="0.25">
      <c r="A14" t="s">
        <v>313</v>
      </c>
      <c r="B14">
        <v>21.48</v>
      </c>
      <c r="C14">
        <v>13.53</v>
      </c>
      <c r="D14">
        <v>0.87</v>
      </c>
      <c r="E14">
        <v>4.2480000000000002</v>
      </c>
      <c r="F14" s="25">
        <v>4.1500000000000002E-2</v>
      </c>
      <c r="G14">
        <v>0.439</v>
      </c>
      <c r="H14">
        <v>4.53</v>
      </c>
      <c r="I14">
        <v>8.7799999999999994</v>
      </c>
      <c r="J14">
        <v>-1.38</v>
      </c>
      <c r="K14">
        <v>6.46</v>
      </c>
      <c r="L14">
        <v>4.42</v>
      </c>
      <c r="M14" s="25">
        <v>0.48359999999999997</v>
      </c>
      <c r="N14" s="25">
        <v>0.35070000000000001</v>
      </c>
      <c r="O14">
        <v>2.87</v>
      </c>
      <c r="P14" s="25">
        <v>5.6599999999999998E-2</v>
      </c>
      <c r="Q14" s="25">
        <v>6.4199999999999993E-2</v>
      </c>
      <c r="R14" s="26">
        <v>76496900</v>
      </c>
      <c r="S14" s="26">
        <v>13432600000</v>
      </c>
      <c r="T14">
        <v>0</v>
      </c>
      <c r="U14" s="25">
        <v>0.42659999999999998</v>
      </c>
    </row>
    <row r="15" spans="1:21" x14ac:dyDescent="0.25">
      <c r="A15" t="s">
        <v>177</v>
      </c>
      <c r="B15">
        <v>9.18</v>
      </c>
      <c r="C15">
        <v>32.07</v>
      </c>
      <c r="D15">
        <v>1.55</v>
      </c>
      <c r="E15">
        <v>1.4690000000000001</v>
      </c>
      <c r="F15" s="25">
        <v>1.0500000000000001E-2</v>
      </c>
      <c r="G15">
        <v>0.98299999999999998</v>
      </c>
      <c r="H15">
        <v>3.73</v>
      </c>
      <c r="I15">
        <v>21.39</v>
      </c>
      <c r="J15">
        <v>7.87</v>
      </c>
      <c r="K15">
        <v>20.68</v>
      </c>
      <c r="L15">
        <v>11.09</v>
      </c>
      <c r="M15" s="25">
        <v>6.8699999999999997E-2</v>
      </c>
      <c r="N15" s="25">
        <v>4.5699999999999998E-2</v>
      </c>
      <c r="O15">
        <v>2.17</v>
      </c>
      <c r="P15" s="25">
        <v>6.0600000000000001E-2</v>
      </c>
      <c r="Q15" s="25">
        <v>4.8300000000000003E-2</v>
      </c>
      <c r="R15" s="26">
        <v>102545</v>
      </c>
      <c r="S15" s="26">
        <v>4051630000</v>
      </c>
      <c r="T15">
        <v>0.22</v>
      </c>
      <c r="U15" s="25">
        <v>3.3799999999999997E-2</v>
      </c>
    </row>
    <row r="16" spans="1:21" x14ac:dyDescent="0.25">
      <c r="A16" t="s">
        <v>67</v>
      </c>
      <c r="B16">
        <v>9.15</v>
      </c>
      <c r="C16">
        <v>31.96</v>
      </c>
      <c r="D16">
        <v>1.54</v>
      </c>
      <c r="E16">
        <v>1.464</v>
      </c>
      <c r="F16" s="25">
        <v>1.1599999999999999E-2</v>
      </c>
      <c r="G16">
        <v>0.97899999999999998</v>
      </c>
      <c r="H16">
        <v>3.71</v>
      </c>
      <c r="I16">
        <v>21.32</v>
      </c>
      <c r="J16">
        <v>7.84</v>
      </c>
      <c r="K16">
        <v>20.61</v>
      </c>
      <c r="L16">
        <v>11.06</v>
      </c>
      <c r="M16" s="25">
        <v>6.8699999999999997E-2</v>
      </c>
      <c r="N16" s="25">
        <v>4.5699999999999998E-2</v>
      </c>
      <c r="O16">
        <v>2.17</v>
      </c>
      <c r="P16" s="25">
        <v>6.0600000000000001E-2</v>
      </c>
      <c r="Q16" s="25">
        <v>4.8300000000000003E-2</v>
      </c>
      <c r="R16" s="26">
        <v>22126400</v>
      </c>
      <c r="S16" s="26">
        <v>4051630000</v>
      </c>
      <c r="T16">
        <v>0.22</v>
      </c>
      <c r="U16" s="25">
        <v>3.3799999999999997E-2</v>
      </c>
    </row>
    <row r="17" spans="1:21" x14ac:dyDescent="0.25">
      <c r="A17" t="s">
        <v>314</v>
      </c>
      <c r="B17">
        <v>3.25</v>
      </c>
      <c r="C17">
        <v>-153.69999999999999</v>
      </c>
      <c r="D17">
        <v>2.04</v>
      </c>
      <c r="E17">
        <v>0.43</v>
      </c>
      <c r="F17" s="25">
        <v>0</v>
      </c>
      <c r="G17">
        <v>0.28799999999999998</v>
      </c>
      <c r="H17">
        <v>-2.46</v>
      </c>
      <c r="I17">
        <v>1.75</v>
      </c>
      <c r="J17">
        <v>-0.41</v>
      </c>
      <c r="K17">
        <v>4.88</v>
      </c>
      <c r="L17">
        <v>3.03</v>
      </c>
      <c r="M17" s="25">
        <v>0.24579999999999999</v>
      </c>
      <c r="N17" s="25">
        <v>2E-3</v>
      </c>
      <c r="O17">
        <v>0.57999999999999996</v>
      </c>
      <c r="P17" s="25">
        <v>0.18340000000000001</v>
      </c>
      <c r="Q17" s="25">
        <v>-1.3299999999999999E-2</v>
      </c>
      <c r="R17" s="26">
        <v>356469</v>
      </c>
      <c r="S17" s="26">
        <v>346060000</v>
      </c>
      <c r="T17">
        <v>4.1399999999999997</v>
      </c>
      <c r="U17" s="25">
        <v>0.29049999999999998</v>
      </c>
    </row>
    <row r="18" spans="1:21" x14ac:dyDescent="0.25">
      <c r="A18" t="s">
        <v>315</v>
      </c>
      <c r="B18">
        <v>30.12</v>
      </c>
      <c r="C18">
        <v>8.7899999999999991</v>
      </c>
      <c r="D18">
        <v>1.17</v>
      </c>
      <c r="E18">
        <v>2.3479999999999999</v>
      </c>
      <c r="F18" s="25">
        <v>2.7799999999999998E-2</v>
      </c>
      <c r="G18">
        <v>0.318</v>
      </c>
      <c r="H18">
        <v>2.9</v>
      </c>
      <c r="I18">
        <v>3.51</v>
      </c>
      <c r="J18">
        <v>-0.79</v>
      </c>
      <c r="K18">
        <v>6.68</v>
      </c>
      <c r="L18">
        <v>6.28</v>
      </c>
      <c r="M18" s="25">
        <v>0.66830000000000001</v>
      </c>
      <c r="N18" s="25">
        <v>0.45929999999999999</v>
      </c>
      <c r="O18">
        <v>2.15</v>
      </c>
      <c r="P18" s="25">
        <v>0.1036</v>
      </c>
      <c r="Q18" s="25">
        <v>0.1326</v>
      </c>
      <c r="R18" s="26">
        <v>28060500</v>
      </c>
      <c r="S18" s="26">
        <v>8518980000</v>
      </c>
      <c r="T18">
        <v>1.48</v>
      </c>
      <c r="U18" s="25">
        <v>-0.1187</v>
      </c>
    </row>
    <row r="19" spans="1:21" x14ac:dyDescent="0.25">
      <c r="A19" t="s">
        <v>316</v>
      </c>
      <c r="B19">
        <v>10.81</v>
      </c>
      <c r="C19">
        <v>9.4600000000000009</v>
      </c>
      <c r="D19">
        <v>1.25</v>
      </c>
      <c r="E19">
        <v>2.528</v>
      </c>
      <c r="F19" s="25">
        <v>2.58E-2</v>
      </c>
      <c r="G19">
        <v>0.34300000000000003</v>
      </c>
      <c r="H19">
        <v>3.12</v>
      </c>
      <c r="I19">
        <v>3.78</v>
      </c>
      <c r="J19">
        <v>-0.85</v>
      </c>
      <c r="K19">
        <v>6.95</v>
      </c>
      <c r="L19">
        <v>6.54</v>
      </c>
      <c r="M19" s="25">
        <v>0.66830000000000001</v>
      </c>
      <c r="N19" s="25">
        <v>0.45929999999999999</v>
      </c>
      <c r="O19">
        <v>2.15</v>
      </c>
      <c r="P19" s="25">
        <v>0.1036</v>
      </c>
      <c r="Q19" s="25">
        <v>0.1326</v>
      </c>
      <c r="R19" s="26">
        <v>90694.3</v>
      </c>
      <c r="S19" s="26">
        <v>8518980000</v>
      </c>
      <c r="T19">
        <v>1.48</v>
      </c>
      <c r="U19" s="25">
        <v>-0.1187</v>
      </c>
    </row>
    <row r="20" spans="1:21" x14ac:dyDescent="0.25">
      <c r="A20" t="s">
        <v>66</v>
      </c>
      <c r="B20">
        <v>9.6300000000000008</v>
      </c>
      <c r="C20">
        <v>8.43</v>
      </c>
      <c r="D20">
        <v>1.1200000000000001</v>
      </c>
      <c r="E20">
        <v>2.2519999999999998</v>
      </c>
      <c r="F20" s="25">
        <v>2.9000000000000001E-2</v>
      </c>
      <c r="G20">
        <v>0.30499999999999999</v>
      </c>
      <c r="H20">
        <v>2.78</v>
      </c>
      <c r="I20">
        <v>3.37</v>
      </c>
      <c r="J20">
        <v>-0.76</v>
      </c>
      <c r="K20">
        <v>6.54</v>
      </c>
      <c r="L20">
        <v>6.15</v>
      </c>
      <c r="M20" s="25">
        <v>0.66830000000000001</v>
      </c>
      <c r="N20" s="25">
        <v>0.45929999999999999</v>
      </c>
      <c r="O20">
        <v>2.15</v>
      </c>
      <c r="P20" s="25">
        <v>0.1036</v>
      </c>
      <c r="Q20" s="25">
        <v>0.1326</v>
      </c>
      <c r="R20" s="26">
        <v>144794</v>
      </c>
      <c r="S20" s="26">
        <v>8518980000</v>
      </c>
      <c r="T20">
        <v>1.48</v>
      </c>
      <c r="U20" s="25">
        <v>-0.1187</v>
      </c>
    </row>
    <row r="21" spans="1:21" x14ac:dyDescent="0.25">
      <c r="A21" t="s">
        <v>317</v>
      </c>
      <c r="B21">
        <v>1.4</v>
      </c>
      <c r="C21">
        <v>-4.3499999999999996</v>
      </c>
      <c r="D21">
        <v>2.5</v>
      </c>
      <c r="E21">
        <v>0.5</v>
      </c>
      <c r="F21" s="25">
        <v>0</v>
      </c>
      <c r="G21">
        <v>0.35199999999999998</v>
      </c>
      <c r="H21">
        <v>-1.93</v>
      </c>
      <c r="I21">
        <v>7.03</v>
      </c>
      <c r="J21">
        <v>-0.61</v>
      </c>
      <c r="K21">
        <v>13.24</v>
      </c>
      <c r="L21">
        <v>5.01</v>
      </c>
      <c r="M21" s="25">
        <v>7.1199999999999999E-2</v>
      </c>
      <c r="N21" s="25">
        <v>-0.1149</v>
      </c>
      <c r="O21">
        <v>0.6</v>
      </c>
      <c r="P21" s="25">
        <v>6.3100000000000003E-2</v>
      </c>
      <c r="Q21" s="25">
        <v>-0.57469999999999999</v>
      </c>
      <c r="R21" s="26">
        <v>492535</v>
      </c>
      <c r="S21" s="26">
        <v>287288000</v>
      </c>
      <c r="T21">
        <v>2.2400000000000002</v>
      </c>
      <c r="U21" s="25">
        <v>-0.12559999999999999</v>
      </c>
    </row>
    <row r="22" spans="1:21" x14ac:dyDescent="0.25">
      <c r="A22" t="s">
        <v>196</v>
      </c>
      <c r="B22">
        <v>169.82</v>
      </c>
      <c r="C22">
        <v>-126.18</v>
      </c>
      <c r="D22">
        <v>21.56</v>
      </c>
      <c r="E22">
        <v>4.1189999999999998</v>
      </c>
      <c r="F22" s="25">
        <v>0</v>
      </c>
      <c r="G22">
        <v>1.651</v>
      </c>
      <c r="H22">
        <v>5.72</v>
      </c>
      <c r="I22">
        <v>24.9</v>
      </c>
      <c r="J22">
        <v>-3.93</v>
      </c>
      <c r="K22">
        <v>30.38</v>
      </c>
      <c r="L22">
        <v>18.32</v>
      </c>
      <c r="M22" s="25">
        <v>0.16539999999999999</v>
      </c>
      <c r="N22" s="25">
        <v>-1.9699999999999999E-2</v>
      </c>
      <c r="O22">
        <v>2.88</v>
      </c>
      <c r="P22" s="25">
        <v>9.64E-2</v>
      </c>
      <c r="Q22" s="25">
        <v>-0.1709</v>
      </c>
      <c r="R22" s="26">
        <v>18121000</v>
      </c>
      <c r="S22" s="26">
        <v>1315480000</v>
      </c>
      <c r="T22">
        <v>8.5</v>
      </c>
      <c r="U22" s="25">
        <v>0.6452</v>
      </c>
    </row>
    <row r="23" spans="1:21" x14ac:dyDescent="0.25">
      <c r="A23" t="s">
        <v>318</v>
      </c>
      <c r="B23">
        <v>5.34</v>
      </c>
      <c r="C23">
        <v>0.15</v>
      </c>
      <c r="D23">
        <v>0.24</v>
      </c>
      <c r="E23">
        <v>7.8E-2</v>
      </c>
      <c r="F23" s="25">
        <v>0</v>
      </c>
      <c r="G23">
        <v>6.2E-2</v>
      </c>
      <c r="H23">
        <v>0.45</v>
      </c>
      <c r="I23">
        <v>-0.82</v>
      </c>
      <c r="J23">
        <v>-0.19</v>
      </c>
      <c r="K23">
        <v>-1.56</v>
      </c>
      <c r="L23">
        <v>-6.87</v>
      </c>
      <c r="M23" s="25">
        <v>-9.5399999999999999E-2</v>
      </c>
      <c r="N23" s="25">
        <v>0.53639999999999999</v>
      </c>
      <c r="O23">
        <v>1.49</v>
      </c>
      <c r="P23" s="25">
        <v>-9.4299999999999995E-2</v>
      </c>
      <c r="Q23" s="25">
        <v>1.6384000000000001</v>
      </c>
      <c r="R23" s="26">
        <v>12859300</v>
      </c>
      <c r="S23" s="26">
        <v>4475000000</v>
      </c>
      <c r="T23">
        <v>0.41</v>
      </c>
      <c r="U23" s="25">
        <v>-1.9599999999999999E-2</v>
      </c>
    </row>
    <row r="24" spans="1:21" x14ac:dyDescent="0.25">
      <c r="A24" t="s">
        <v>319</v>
      </c>
      <c r="B24">
        <v>11.03</v>
      </c>
      <c r="C24">
        <v>-3.33</v>
      </c>
      <c r="D24">
        <v>0.18</v>
      </c>
      <c r="E24">
        <v>2.9000000000000001E-2</v>
      </c>
      <c r="F24" s="25">
        <v>0</v>
      </c>
      <c r="G24">
        <v>4.7E-2</v>
      </c>
      <c r="H24">
        <v>0.21</v>
      </c>
      <c r="I24">
        <v>1.44</v>
      </c>
      <c r="J24">
        <v>-0.31</v>
      </c>
      <c r="K24">
        <v>10.38</v>
      </c>
      <c r="L24">
        <v>5.6</v>
      </c>
      <c r="M24" s="25">
        <v>0.02</v>
      </c>
      <c r="N24" s="25">
        <v>-8.6E-3</v>
      </c>
      <c r="O24">
        <v>1.61</v>
      </c>
      <c r="P24" s="25">
        <v>4.4999999999999998E-2</v>
      </c>
      <c r="Q24" s="25">
        <v>-5.5500000000000001E-2</v>
      </c>
      <c r="R24" s="26">
        <v>2410340</v>
      </c>
      <c r="S24" s="26">
        <v>2262550000</v>
      </c>
      <c r="T24">
        <v>1.53</v>
      </c>
      <c r="U24" s="25">
        <v>0</v>
      </c>
    </row>
    <row r="25" spans="1:21" x14ac:dyDescent="0.25">
      <c r="A25" t="s">
        <v>167</v>
      </c>
      <c r="B25">
        <v>4.03</v>
      </c>
      <c r="C25">
        <v>13.99</v>
      </c>
      <c r="D25">
        <v>0.69</v>
      </c>
      <c r="E25">
        <v>0.42299999999999999</v>
      </c>
      <c r="F25" s="25">
        <v>0.13020000000000001</v>
      </c>
      <c r="G25">
        <v>0.16300000000000001</v>
      </c>
      <c r="H25">
        <v>1.36</v>
      </c>
      <c r="I25">
        <v>1.53</v>
      </c>
      <c r="J25">
        <v>-0.34</v>
      </c>
      <c r="K25">
        <v>5.28</v>
      </c>
      <c r="L25">
        <v>3.68</v>
      </c>
      <c r="M25" s="25">
        <v>0.27600000000000002</v>
      </c>
      <c r="N25" s="25">
        <v>6.4199999999999993E-2</v>
      </c>
      <c r="O25">
        <v>2.06</v>
      </c>
      <c r="P25" s="25">
        <v>0.1275</v>
      </c>
      <c r="Q25" s="25">
        <v>4.9099999999999998E-2</v>
      </c>
      <c r="R25" s="26">
        <v>34118800</v>
      </c>
      <c r="S25" s="26">
        <v>2369750000</v>
      </c>
      <c r="T25">
        <v>2.27</v>
      </c>
      <c r="U25" s="25">
        <v>0.23</v>
      </c>
    </row>
    <row r="26" spans="1:21" x14ac:dyDescent="0.25">
      <c r="A26" t="s">
        <v>264</v>
      </c>
      <c r="B26">
        <v>5</v>
      </c>
      <c r="C26">
        <v>13.3</v>
      </c>
      <c r="D26">
        <v>1.37</v>
      </c>
      <c r="E26">
        <v>0.95299999999999996</v>
      </c>
      <c r="F26" s="25">
        <v>6.3299999999999995E-2</v>
      </c>
      <c r="G26">
        <v>0.379</v>
      </c>
      <c r="H26">
        <v>2.12</v>
      </c>
      <c r="I26">
        <v>3.6</v>
      </c>
      <c r="J26">
        <v>-0.93</v>
      </c>
      <c r="K26">
        <v>7.23</v>
      </c>
      <c r="L26">
        <v>4.99</v>
      </c>
      <c r="M26" s="25">
        <v>0.26490000000000002</v>
      </c>
      <c r="N26" s="25">
        <v>7.1599999999999997E-2</v>
      </c>
      <c r="O26">
        <v>2.42</v>
      </c>
      <c r="P26" s="25">
        <v>0.13800000000000001</v>
      </c>
      <c r="Q26" s="25">
        <v>0.1031</v>
      </c>
      <c r="R26" s="26">
        <v>3618990</v>
      </c>
      <c r="S26" s="26">
        <v>1263400000</v>
      </c>
      <c r="T26">
        <v>1.96</v>
      </c>
      <c r="U26" s="25">
        <v>0.49309999999999998</v>
      </c>
    </row>
    <row r="27" spans="1:21" x14ac:dyDescent="0.25">
      <c r="A27" t="s">
        <v>182</v>
      </c>
      <c r="B27">
        <v>10.91</v>
      </c>
      <c r="C27">
        <v>17.86</v>
      </c>
      <c r="D27">
        <v>2.74</v>
      </c>
      <c r="E27">
        <v>0.19600000000000001</v>
      </c>
      <c r="F27" s="25">
        <v>9.7999999999999997E-3</v>
      </c>
      <c r="G27">
        <v>0.33</v>
      </c>
      <c r="H27">
        <v>18.21</v>
      </c>
      <c r="I27">
        <v>2.69</v>
      </c>
      <c r="J27">
        <v>-0.63</v>
      </c>
      <c r="K27">
        <v>4.8499999999999996</v>
      </c>
      <c r="L27">
        <v>3.72</v>
      </c>
      <c r="M27" s="25">
        <v>7.3099999999999998E-2</v>
      </c>
      <c r="N27" s="25">
        <v>1.0999999999999999E-2</v>
      </c>
      <c r="O27">
        <v>1.05</v>
      </c>
      <c r="P27" s="25">
        <v>0.1903</v>
      </c>
      <c r="Q27" s="25">
        <v>0.15340000000000001</v>
      </c>
      <c r="R27" s="26">
        <v>137363000</v>
      </c>
      <c r="S27" s="26">
        <v>5385000000</v>
      </c>
      <c r="T27">
        <v>3.03</v>
      </c>
      <c r="U27" s="25">
        <v>0.2361</v>
      </c>
    </row>
    <row r="28" spans="1:21" x14ac:dyDescent="0.25">
      <c r="A28" t="s">
        <v>320</v>
      </c>
      <c r="B28">
        <v>1.84</v>
      </c>
      <c r="C28">
        <v>-8.68</v>
      </c>
      <c r="D28">
        <v>2.06</v>
      </c>
      <c r="E28">
        <v>1.4039999999999999</v>
      </c>
      <c r="F28" s="25">
        <v>0</v>
      </c>
      <c r="G28">
        <v>1.6679999999999999</v>
      </c>
      <c r="H28">
        <v>3.86</v>
      </c>
      <c r="I28">
        <v>23.66</v>
      </c>
      <c r="J28">
        <v>4.2</v>
      </c>
      <c r="K28">
        <v>23.26</v>
      </c>
      <c r="L28">
        <v>14.19</v>
      </c>
      <c r="M28" s="25">
        <v>5.9299999999999999E-2</v>
      </c>
      <c r="N28" s="25">
        <v>-0.1111</v>
      </c>
      <c r="O28">
        <v>6.45</v>
      </c>
      <c r="P28" s="25">
        <v>7.8299999999999995E-2</v>
      </c>
      <c r="Q28" s="25">
        <v>-0.2379</v>
      </c>
      <c r="R28" s="26">
        <v>110187</v>
      </c>
      <c r="S28" s="26">
        <v>21223000</v>
      </c>
      <c r="T28">
        <v>0.06</v>
      </c>
      <c r="U28" s="25">
        <v>0</v>
      </c>
    </row>
    <row r="29" spans="1:21" x14ac:dyDescent="0.25">
      <c r="A29" t="s">
        <v>265</v>
      </c>
      <c r="B29">
        <v>1.25</v>
      </c>
      <c r="C29">
        <v>-0.21</v>
      </c>
      <c r="D29">
        <v>0.31</v>
      </c>
      <c r="E29">
        <v>8.5000000000000006E-2</v>
      </c>
      <c r="F29" s="25">
        <v>0</v>
      </c>
      <c r="G29">
        <v>0.03</v>
      </c>
      <c r="H29">
        <v>-0.12</v>
      </c>
      <c r="I29">
        <v>-0.62</v>
      </c>
      <c r="J29">
        <v>-0.04</v>
      </c>
      <c r="K29">
        <v>-3.53</v>
      </c>
      <c r="L29">
        <v>-17.98</v>
      </c>
      <c r="M29" s="25">
        <v>-0.1366</v>
      </c>
      <c r="N29" s="25">
        <v>-0.41139999999999999</v>
      </c>
      <c r="O29">
        <v>0.38</v>
      </c>
      <c r="P29" s="25">
        <v>-5.28E-2</v>
      </c>
      <c r="Q29" s="25">
        <v>-1.5024</v>
      </c>
      <c r="R29" s="26">
        <v>16591.3</v>
      </c>
      <c r="S29" s="26">
        <v>107351000</v>
      </c>
      <c r="T29">
        <v>2.09</v>
      </c>
      <c r="U29" s="25">
        <v>-0.25879999999999997</v>
      </c>
    </row>
    <row r="30" spans="1:21" x14ac:dyDescent="0.25">
      <c r="A30" t="s">
        <v>321</v>
      </c>
      <c r="B30">
        <v>50.05</v>
      </c>
      <c r="C30">
        <v>-20.420000000000002</v>
      </c>
      <c r="D30">
        <v>13.54</v>
      </c>
      <c r="E30">
        <v>3.0920000000000001</v>
      </c>
      <c r="F30" s="25">
        <v>2.1100000000000001E-2</v>
      </c>
      <c r="G30">
        <v>1.6619999999999999</v>
      </c>
      <c r="H30">
        <v>38.119999999999997</v>
      </c>
      <c r="I30">
        <v>7.75</v>
      </c>
      <c r="J30">
        <v>-2.84</v>
      </c>
      <c r="K30">
        <v>8.85</v>
      </c>
      <c r="L30">
        <v>8.85</v>
      </c>
      <c r="M30" s="25">
        <v>0.39900000000000002</v>
      </c>
      <c r="N30" s="25">
        <v>-0.15140000000000001</v>
      </c>
      <c r="O30">
        <v>1.17</v>
      </c>
      <c r="P30" s="25">
        <v>0.2918</v>
      </c>
      <c r="Q30" s="25">
        <v>-0.66269999999999996</v>
      </c>
      <c r="R30" s="26">
        <v>12329200</v>
      </c>
      <c r="S30" s="26">
        <v>803132000</v>
      </c>
      <c r="T30">
        <v>3.34</v>
      </c>
      <c r="U30" s="25">
        <v>0.1147</v>
      </c>
    </row>
    <row r="31" spans="1:21" x14ac:dyDescent="0.25">
      <c r="A31" t="s">
        <v>87</v>
      </c>
      <c r="B31">
        <v>10.02</v>
      </c>
      <c r="C31" s="26">
        <v>1809.63</v>
      </c>
      <c r="D31">
        <v>0.79</v>
      </c>
      <c r="E31">
        <v>1.095</v>
      </c>
      <c r="F31" s="25">
        <v>5.7000000000000002E-3</v>
      </c>
      <c r="G31">
        <v>0.20100000000000001</v>
      </c>
      <c r="H31">
        <v>3.05</v>
      </c>
      <c r="I31">
        <v>7.24</v>
      </c>
      <c r="J31">
        <v>-0.4</v>
      </c>
      <c r="K31">
        <v>20.99</v>
      </c>
      <c r="L31" s="26">
        <v>13.14</v>
      </c>
      <c r="M31" s="25">
        <v>0.1512</v>
      </c>
      <c r="N31" s="25">
        <v>7.4999999999999997E-3</v>
      </c>
      <c r="O31">
        <v>1.45</v>
      </c>
      <c r="P31" s="25">
        <v>3.2300000000000002E-2</v>
      </c>
      <c r="Q31" s="25">
        <v>4.0000000000000002E-4</v>
      </c>
      <c r="R31" s="26">
        <v>44565600</v>
      </c>
      <c r="S31" s="26">
        <v>13251500000</v>
      </c>
      <c r="T31">
        <v>1.97</v>
      </c>
      <c r="U31" s="25">
        <v>0.3977</v>
      </c>
    </row>
    <row r="32" spans="1:21" x14ac:dyDescent="0.25">
      <c r="A32" t="s">
        <v>322</v>
      </c>
      <c r="B32">
        <v>1.86</v>
      </c>
      <c r="C32">
        <v>-31.01</v>
      </c>
      <c r="D32">
        <v>-4.18</v>
      </c>
      <c r="E32">
        <v>0.52300000000000002</v>
      </c>
      <c r="F32" s="25">
        <v>0</v>
      </c>
      <c r="G32">
        <v>0.26200000000000001</v>
      </c>
      <c r="H32">
        <v>-4.1100000000000003</v>
      </c>
      <c r="I32">
        <v>1.9</v>
      </c>
      <c r="J32">
        <v>-0.4</v>
      </c>
      <c r="K32">
        <v>4.18</v>
      </c>
      <c r="L32" s="26">
        <v>4.1500000000000004</v>
      </c>
      <c r="M32" s="25">
        <v>0.2752</v>
      </c>
      <c r="N32" s="25">
        <v>1.3899999999999999E-2</v>
      </c>
      <c r="O32">
        <v>0.86</v>
      </c>
      <c r="P32" s="25">
        <v>0.1759</v>
      </c>
      <c r="Q32" s="25">
        <v>0.13469999999999999</v>
      </c>
      <c r="R32" s="26">
        <v>41021.599999999999</v>
      </c>
      <c r="S32" s="26">
        <v>-86998000</v>
      </c>
      <c r="T32">
        <v>-7.67</v>
      </c>
      <c r="U32" s="25">
        <v>0.33529999999999999</v>
      </c>
    </row>
    <row r="33" spans="1:21" x14ac:dyDescent="0.25">
      <c r="A33" t="s">
        <v>249</v>
      </c>
      <c r="B33">
        <v>0.5</v>
      </c>
      <c r="C33">
        <v>-1.1299999999999999</v>
      </c>
      <c r="D33">
        <v>0.41</v>
      </c>
      <c r="E33">
        <v>1.9279999999999999</v>
      </c>
      <c r="F33" s="25">
        <v>0</v>
      </c>
      <c r="G33">
        <v>0.22600000000000001</v>
      </c>
      <c r="H33">
        <v>-1.45</v>
      </c>
      <c r="I33">
        <v>-2.83</v>
      </c>
      <c r="J33">
        <v>-0.69</v>
      </c>
      <c r="K33" s="26">
        <v>-4.1100000000000003</v>
      </c>
      <c r="L33">
        <v>-6.35</v>
      </c>
      <c r="M33" s="25">
        <v>-0.68030000000000002</v>
      </c>
      <c r="N33" s="25">
        <v>-1.7121</v>
      </c>
      <c r="O33">
        <v>0.44</v>
      </c>
      <c r="P33" s="25">
        <v>-8.7300000000000003E-2</v>
      </c>
      <c r="Q33" s="25">
        <v>-0.36630000000000001</v>
      </c>
      <c r="R33" s="26">
        <v>1182150</v>
      </c>
      <c r="S33" s="26">
        <v>718475000</v>
      </c>
      <c r="T33">
        <v>0.2</v>
      </c>
      <c r="U33" s="25">
        <v>0.54369999999999996</v>
      </c>
    </row>
    <row r="34" spans="1:21" x14ac:dyDescent="0.25">
      <c r="A34" t="s">
        <v>237</v>
      </c>
      <c r="B34">
        <v>0.69</v>
      </c>
      <c r="C34">
        <v>-1.55</v>
      </c>
      <c r="D34">
        <v>0.56999999999999995</v>
      </c>
      <c r="E34">
        <v>2.661</v>
      </c>
      <c r="F34" s="25">
        <v>0</v>
      </c>
      <c r="G34">
        <v>0.312</v>
      </c>
      <c r="H34">
        <v>-2</v>
      </c>
      <c r="I34">
        <v>-3.91</v>
      </c>
      <c r="J34">
        <v>-0.95</v>
      </c>
      <c r="K34">
        <v>-5.18</v>
      </c>
      <c r="L34">
        <v>-8.01</v>
      </c>
      <c r="M34" s="25">
        <v>-0.68030000000000002</v>
      </c>
      <c r="N34" s="25">
        <v>-1.7121</v>
      </c>
      <c r="O34">
        <v>0.44</v>
      </c>
      <c r="P34" s="25">
        <v>-8.7300000000000003E-2</v>
      </c>
      <c r="Q34" s="25">
        <v>-0.36630000000000001</v>
      </c>
      <c r="R34" s="26">
        <v>3182830</v>
      </c>
      <c r="S34" s="26">
        <v>718475000</v>
      </c>
      <c r="T34">
        <v>0.2</v>
      </c>
      <c r="U34" s="25">
        <v>0.54369999999999996</v>
      </c>
    </row>
    <row r="35" spans="1:21" x14ac:dyDescent="0.25">
      <c r="A35" t="s">
        <v>323</v>
      </c>
      <c r="B35">
        <v>0.6</v>
      </c>
      <c r="C35">
        <v>-2.75</v>
      </c>
      <c r="D35">
        <v>0.79</v>
      </c>
      <c r="E35">
        <v>44.820999999999998</v>
      </c>
      <c r="F35" s="25">
        <v>0</v>
      </c>
      <c r="G35">
        <v>0.58699999999999997</v>
      </c>
      <c r="H35">
        <v>-7.1</v>
      </c>
      <c r="I35">
        <v>-15.68</v>
      </c>
      <c r="J35">
        <v>-2.36</v>
      </c>
      <c r="K35">
        <v>-16.79</v>
      </c>
      <c r="L35">
        <v>-118.64</v>
      </c>
      <c r="M35" s="25">
        <v>-2.8586</v>
      </c>
      <c r="N35" s="25">
        <v>-16.324400000000001</v>
      </c>
      <c r="O35">
        <v>0.08</v>
      </c>
      <c r="P35" s="25">
        <v>-3.8100000000000002E-2</v>
      </c>
      <c r="Q35" s="25">
        <v>-0.28770000000000001</v>
      </c>
      <c r="R35" s="26">
        <v>2073240</v>
      </c>
      <c r="S35" s="26">
        <v>150106000</v>
      </c>
      <c r="T35">
        <v>0.06</v>
      </c>
      <c r="U35" s="25">
        <v>0</v>
      </c>
    </row>
    <row r="36" spans="1:21" x14ac:dyDescent="0.25">
      <c r="A36" t="s">
        <v>258</v>
      </c>
      <c r="B36">
        <v>0.99</v>
      </c>
      <c r="C36">
        <v>0.08</v>
      </c>
      <c r="D36">
        <v>-0.03</v>
      </c>
      <c r="E36">
        <v>4.4999999999999998E-2</v>
      </c>
      <c r="F36" s="25">
        <v>0</v>
      </c>
      <c r="G36">
        <v>3.5999999999999997E-2</v>
      </c>
      <c r="H36">
        <v>-0.08</v>
      </c>
      <c r="I36">
        <v>0.2</v>
      </c>
      <c r="J36">
        <v>-0.02</v>
      </c>
      <c r="K36">
        <v>7.55</v>
      </c>
      <c r="L36">
        <v>4.68</v>
      </c>
      <c r="M36" s="25">
        <v>0.22259999999999999</v>
      </c>
      <c r="N36" s="25">
        <v>0.58760000000000001</v>
      </c>
      <c r="O36">
        <v>0.35</v>
      </c>
      <c r="P36" s="25">
        <v>0.22220000000000001</v>
      </c>
      <c r="Q36" s="25">
        <v>-0.41810000000000003</v>
      </c>
      <c r="R36" s="26">
        <v>133442000</v>
      </c>
      <c r="S36" s="26">
        <v>-28451100000</v>
      </c>
      <c r="T36">
        <v>-1.22</v>
      </c>
      <c r="U36" s="25">
        <v>0.4042</v>
      </c>
    </row>
    <row r="37" spans="1:21" x14ac:dyDescent="0.25">
      <c r="A37" t="s">
        <v>324</v>
      </c>
      <c r="B37">
        <v>41.13</v>
      </c>
      <c r="C37">
        <v>21.98</v>
      </c>
      <c r="D37">
        <v>1.0900000000000001</v>
      </c>
      <c r="E37">
        <v>0.84899999999999998</v>
      </c>
      <c r="F37" s="25">
        <v>2.1100000000000001E-2</v>
      </c>
      <c r="G37">
        <v>0.55400000000000005</v>
      </c>
      <c r="H37">
        <v>3.41</v>
      </c>
      <c r="I37">
        <v>11.86</v>
      </c>
      <c r="J37">
        <v>-17.440000000000001</v>
      </c>
      <c r="K37">
        <v>14.85</v>
      </c>
      <c r="L37">
        <v>8.59</v>
      </c>
      <c r="M37" s="25">
        <v>7.1599999999999997E-2</v>
      </c>
      <c r="N37" s="25">
        <v>3.85E-2</v>
      </c>
      <c r="O37">
        <v>1.55</v>
      </c>
      <c r="P37" s="25">
        <v>5.6800000000000003E-2</v>
      </c>
      <c r="Q37" s="25">
        <v>4.9500000000000002E-2</v>
      </c>
      <c r="R37" s="26">
        <v>108881000</v>
      </c>
      <c r="S37" s="26">
        <v>7804360000</v>
      </c>
      <c r="T37">
        <v>0.42</v>
      </c>
      <c r="U37" s="25">
        <v>0.48170000000000002</v>
      </c>
    </row>
    <row r="38" spans="1:21" x14ac:dyDescent="0.25">
      <c r="A38" t="s">
        <v>183</v>
      </c>
      <c r="B38">
        <v>13.05</v>
      </c>
      <c r="C38">
        <v>14.52</v>
      </c>
      <c r="D38">
        <v>3.66</v>
      </c>
      <c r="E38">
        <v>6.3849999999999998</v>
      </c>
      <c r="F38" s="25">
        <v>2.47E-2</v>
      </c>
      <c r="G38">
        <v>1.4850000000000001</v>
      </c>
      <c r="H38">
        <v>8.0399999999999991</v>
      </c>
      <c r="I38">
        <v>10.77</v>
      </c>
      <c r="J38">
        <v>-6.05</v>
      </c>
      <c r="K38">
        <v>10.82</v>
      </c>
      <c r="L38">
        <v>10.199999999999999</v>
      </c>
      <c r="M38" s="25">
        <v>0.59299999999999997</v>
      </c>
      <c r="N38" s="25">
        <v>0.43969999999999998</v>
      </c>
      <c r="O38">
        <v>2.13</v>
      </c>
      <c r="P38" s="25">
        <v>0.20280000000000001</v>
      </c>
      <c r="Q38" s="25">
        <v>0.25180000000000002</v>
      </c>
      <c r="R38" s="26">
        <v>634013000</v>
      </c>
      <c r="S38" s="26">
        <v>18794600000</v>
      </c>
      <c r="T38">
        <v>0.79</v>
      </c>
      <c r="U38" s="25">
        <v>1.6E-2</v>
      </c>
    </row>
    <row r="39" spans="1:21" x14ac:dyDescent="0.25">
      <c r="A39" t="s">
        <v>325</v>
      </c>
      <c r="B39">
        <v>20</v>
      </c>
      <c r="C39">
        <v>6.32</v>
      </c>
      <c r="D39">
        <v>1.07</v>
      </c>
      <c r="E39">
        <v>0.94499999999999995</v>
      </c>
      <c r="F39" s="25">
        <v>6.7900000000000002E-2</v>
      </c>
      <c r="G39">
        <v>0.69599999999999995</v>
      </c>
      <c r="H39">
        <v>1.37</v>
      </c>
      <c r="I39">
        <v>5.75</v>
      </c>
      <c r="J39">
        <v>1.86</v>
      </c>
      <c r="K39">
        <v>3.91</v>
      </c>
      <c r="L39">
        <v>3.4</v>
      </c>
      <c r="M39" s="25">
        <v>0.16450000000000001</v>
      </c>
      <c r="N39" s="25">
        <v>0.1517</v>
      </c>
      <c r="O39">
        <v>3.3</v>
      </c>
      <c r="P39" s="25">
        <v>0.17910000000000001</v>
      </c>
      <c r="Q39" s="25">
        <v>0.1699</v>
      </c>
      <c r="R39" s="26">
        <v>431.88</v>
      </c>
      <c r="S39" s="26">
        <v>182554000</v>
      </c>
      <c r="T39">
        <v>0.09</v>
      </c>
      <c r="U39" s="25">
        <v>6.9500000000000006E-2</v>
      </c>
    </row>
    <row r="40" spans="1:21" x14ac:dyDescent="0.25">
      <c r="A40" t="s">
        <v>326</v>
      </c>
      <c r="B40">
        <v>15.69</v>
      </c>
      <c r="C40">
        <v>4.96</v>
      </c>
      <c r="D40">
        <v>0.84</v>
      </c>
      <c r="E40">
        <v>0.74199999999999999</v>
      </c>
      <c r="F40" s="25">
        <v>8.6499999999999994E-2</v>
      </c>
      <c r="G40">
        <v>0.54600000000000004</v>
      </c>
      <c r="H40">
        <v>1.07</v>
      </c>
      <c r="I40">
        <v>4.51</v>
      </c>
      <c r="J40">
        <v>1.46</v>
      </c>
      <c r="K40">
        <v>2.67</v>
      </c>
      <c r="L40">
        <v>2.3199999999999998</v>
      </c>
      <c r="M40" s="25">
        <v>0.16450000000000001</v>
      </c>
      <c r="N40" s="25">
        <v>0.1517</v>
      </c>
      <c r="O40">
        <v>3.3</v>
      </c>
      <c r="P40" s="25">
        <v>0.17910000000000001</v>
      </c>
      <c r="Q40" s="25">
        <v>0.1699</v>
      </c>
      <c r="R40" s="26">
        <v>15483</v>
      </c>
      <c r="S40" s="26">
        <v>182554000</v>
      </c>
      <c r="T40">
        <v>0.09</v>
      </c>
      <c r="U40" s="25">
        <v>6.9500000000000006E-2</v>
      </c>
    </row>
    <row r="41" spans="1:21" x14ac:dyDescent="0.25">
      <c r="A41" t="s">
        <v>327</v>
      </c>
      <c r="B41">
        <v>81.86</v>
      </c>
      <c r="C41">
        <v>15.98</v>
      </c>
      <c r="D41">
        <v>3.28</v>
      </c>
      <c r="E41">
        <v>1.6679999999999999</v>
      </c>
      <c r="F41" s="25">
        <v>1.5100000000000001E-2</v>
      </c>
      <c r="G41">
        <v>2.2509999999999999</v>
      </c>
      <c r="H41">
        <v>9.5399999999999991</v>
      </c>
      <c r="I41">
        <v>21.62</v>
      </c>
      <c r="J41">
        <v>10.220000000000001</v>
      </c>
      <c r="K41">
        <v>19.350000000000001</v>
      </c>
      <c r="L41">
        <v>15.16</v>
      </c>
      <c r="M41" s="25">
        <v>7.7200000000000005E-2</v>
      </c>
      <c r="N41" s="25">
        <v>0.10440000000000001</v>
      </c>
      <c r="O41">
        <v>1.79</v>
      </c>
      <c r="P41" s="25">
        <v>0.17910000000000001</v>
      </c>
      <c r="Q41" s="25">
        <v>0.2051</v>
      </c>
      <c r="R41" s="26">
        <v>4843.1400000000003</v>
      </c>
      <c r="S41" s="26">
        <v>130425000</v>
      </c>
      <c r="T41">
        <v>0</v>
      </c>
      <c r="U41" s="25">
        <v>9.0999999999999998E-2</v>
      </c>
    </row>
    <row r="42" spans="1:21" x14ac:dyDescent="0.25">
      <c r="A42" t="s">
        <v>328</v>
      </c>
      <c r="B42">
        <v>68.61</v>
      </c>
      <c r="C42">
        <v>3.4</v>
      </c>
      <c r="D42">
        <v>0.59</v>
      </c>
      <c r="E42">
        <v>0</v>
      </c>
      <c r="F42" s="25">
        <v>0.1163</v>
      </c>
      <c r="G42">
        <v>0</v>
      </c>
      <c r="H42">
        <v>0</v>
      </c>
      <c r="I42">
        <v>0</v>
      </c>
      <c r="J42">
        <v>0</v>
      </c>
      <c r="K42">
        <v>0</v>
      </c>
      <c r="L42">
        <v>0</v>
      </c>
      <c r="M42" s="25">
        <v>0</v>
      </c>
      <c r="N42" s="25">
        <v>0</v>
      </c>
      <c r="O42">
        <v>0</v>
      </c>
      <c r="P42" s="25">
        <v>0</v>
      </c>
      <c r="Q42" s="25">
        <v>0.17330000000000001</v>
      </c>
      <c r="R42" s="26">
        <v>490902</v>
      </c>
      <c r="S42" s="26">
        <v>6531090000</v>
      </c>
      <c r="T42">
        <v>0</v>
      </c>
      <c r="U42" s="25">
        <v>0.1386</v>
      </c>
    </row>
    <row r="43" spans="1:21" x14ac:dyDescent="0.25">
      <c r="A43" t="s">
        <v>232</v>
      </c>
      <c r="B43">
        <v>21.59</v>
      </c>
      <c r="C43">
        <v>3.72</v>
      </c>
      <c r="D43">
        <v>0.71</v>
      </c>
      <c r="E43">
        <v>0</v>
      </c>
      <c r="F43" s="25">
        <v>0.11020000000000001</v>
      </c>
      <c r="G43">
        <v>0</v>
      </c>
      <c r="H43">
        <v>0</v>
      </c>
      <c r="I43">
        <v>0</v>
      </c>
      <c r="J43">
        <v>0</v>
      </c>
      <c r="K43">
        <v>0</v>
      </c>
      <c r="L43">
        <v>0</v>
      </c>
      <c r="M43" s="25">
        <v>0</v>
      </c>
      <c r="N43" s="25">
        <v>0</v>
      </c>
      <c r="O43">
        <v>0</v>
      </c>
      <c r="P43" s="25">
        <v>0</v>
      </c>
      <c r="Q43" s="25">
        <v>0.1905</v>
      </c>
      <c r="R43" s="26">
        <v>821391000</v>
      </c>
      <c r="S43" s="26">
        <v>174643000000</v>
      </c>
      <c r="T43">
        <v>0</v>
      </c>
      <c r="U43" s="25">
        <v>0.15529999999999999</v>
      </c>
    </row>
    <row r="44" spans="1:21" x14ac:dyDescent="0.25">
      <c r="A44" t="s">
        <v>95</v>
      </c>
      <c r="B44">
        <v>14.11</v>
      </c>
      <c r="C44">
        <v>7.23</v>
      </c>
      <c r="D44">
        <v>0.91</v>
      </c>
      <c r="E44">
        <v>0</v>
      </c>
      <c r="F44" s="25">
        <v>8.6800000000000002E-2</v>
      </c>
      <c r="G44">
        <v>0</v>
      </c>
      <c r="H44">
        <v>0</v>
      </c>
      <c r="I44">
        <v>0</v>
      </c>
      <c r="J44">
        <v>0</v>
      </c>
      <c r="K44">
        <v>0</v>
      </c>
      <c r="L44">
        <v>0</v>
      </c>
      <c r="M44" s="25">
        <v>0</v>
      </c>
      <c r="N44" s="25">
        <v>0</v>
      </c>
      <c r="O44">
        <v>0</v>
      </c>
      <c r="P44" s="25">
        <v>0</v>
      </c>
      <c r="Q44" s="25">
        <v>0.12590000000000001</v>
      </c>
      <c r="R44" s="26">
        <v>132227000</v>
      </c>
      <c r="S44" s="26">
        <v>164193000000</v>
      </c>
      <c r="T44">
        <v>0</v>
      </c>
      <c r="U44" s="25">
        <v>-4.48E-2</v>
      </c>
    </row>
    <row r="45" spans="1:21" x14ac:dyDescent="0.25">
      <c r="A45" t="s">
        <v>110</v>
      </c>
      <c r="B45">
        <v>16.29</v>
      </c>
      <c r="C45">
        <v>8.34</v>
      </c>
      <c r="D45">
        <v>1.05</v>
      </c>
      <c r="E45">
        <v>0</v>
      </c>
      <c r="F45" s="25">
        <v>8.2699999999999996E-2</v>
      </c>
      <c r="G45">
        <v>0</v>
      </c>
      <c r="H45">
        <v>0</v>
      </c>
      <c r="I45">
        <v>0</v>
      </c>
      <c r="J45">
        <v>0</v>
      </c>
      <c r="K45">
        <v>0</v>
      </c>
      <c r="L45">
        <v>0</v>
      </c>
      <c r="M45" s="25">
        <v>0</v>
      </c>
      <c r="N45" s="25">
        <v>0</v>
      </c>
      <c r="O45">
        <v>0</v>
      </c>
      <c r="P45" s="25">
        <v>0</v>
      </c>
      <c r="Q45" s="25">
        <v>0.12590000000000001</v>
      </c>
      <c r="R45" s="26">
        <v>584885000</v>
      </c>
      <c r="S45" s="26">
        <v>164193000000</v>
      </c>
      <c r="T45">
        <v>0</v>
      </c>
      <c r="U45" s="25">
        <v>-4.48E-2</v>
      </c>
    </row>
    <row r="46" spans="1:21" x14ac:dyDescent="0.25">
      <c r="A46" t="s">
        <v>42</v>
      </c>
      <c r="B46">
        <v>35.51</v>
      </c>
      <c r="C46">
        <v>8.2200000000000006</v>
      </c>
      <c r="D46">
        <v>6.09</v>
      </c>
      <c r="E46">
        <v>0</v>
      </c>
      <c r="F46" s="25">
        <v>0.1043</v>
      </c>
      <c r="G46">
        <v>3.8340000000000001</v>
      </c>
      <c r="H46">
        <v>0</v>
      </c>
      <c r="I46">
        <v>7.33</v>
      </c>
      <c r="J46">
        <v>0</v>
      </c>
      <c r="K46">
        <v>0</v>
      </c>
      <c r="L46">
        <v>0</v>
      </c>
      <c r="M46" s="25">
        <v>0</v>
      </c>
      <c r="N46" s="25">
        <v>0</v>
      </c>
      <c r="O46">
        <v>0</v>
      </c>
      <c r="P46" s="25">
        <v>0</v>
      </c>
      <c r="Q46" s="25">
        <v>0.74129999999999996</v>
      </c>
      <c r="R46" s="26">
        <v>199293000</v>
      </c>
      <c r="S46" s="26">
        <v>11662000000</v>
      </c>
      <c r="T46">
        <v>0</v>
      </c>
      <c r="U46" s="25">
        <v>0</v>
      </c>
    </row>
    <row r="47" spans="1:21" x14ac:dyDescent="0.25">
      <c r="A47" t="s">
        <v>329</v>
      </c>
      <c r="B47">
        <v>9</v>
      </c>
      <c r="C47">
        <v>-0.54</v>
      </c>
      <c r="D47">
        <v>-0.06</v>
      </c>
      <c r="E47">
        <v>0.34300000000000003</v>
      </c>
      <c r="F47" s="25">
        <v>0</v>
      </c>
      <c r="G47">
        <v>2.7E-2</v>
      </c>
      <c r="H47">
        <v>-0.05</v>
      </c>
      <c r="I47">
        <v>-1.1599999999999999</v>
      </c>
      <c r="J47">
        <v>-0.03</v>
      </c>
      <c r="K47">
        <v>-14.84</v>
      </c>
      <c r="L47">
        <v>-17.7</v>
      </c>
      <c r="M47" s="25">
        <v>-0.29549999999999998</v>
      </c>
      <c r="N47" s="25">
        <v>-0.63990000000000002</v>
      </c>
      <c r="O47">
        <v>0.46</v>
      </c>
      <c r="P47" s="25">
        <v>-2.5100000000000001E-2</v>
      </c>
      <c r="Q47" s="25">
        <v>0.11509999999999999</v>
      </c>
      <c r="R47" s="26">
        <v>2228.7600000000002</v>
      </c>
      <c r="S47" s="26">
        <v>-233585000</v>
      </c>
      <c r="T47">
        <v>-0.8</v>
      </c>
      <c r="U47" s="25">
        <v>0.21890000000000001</v>
      </c>
    </row>
    <row r="48" spans="1:21" x14ac:dyDescent="0.25">
      <c r="A48" t="s">
        <v>330</v>
      </c>
      <c r="B48">
        <v>7.7</v>
      </c>
      <c r="C48">
        <v>-0.46</v>
      </c>
      <c r="D48">
        <v>-0.05</v>
      </c>
      <c r="E48">
        <v>0.29299999999999998</v>
      </c>
      <c r="F48" s="25">
        <v>0</v>
      </c>
      <c r="G48">
        <v>2.3E-2</v>
      </c>
      <c r="H48">
        <v>-0.05</v>
      </c>
      <c r="I48">
        <v>-0.99</v>
      </c>
      <c r="J48">
        <v>-0.02</v>
      </c>
      <c r="K48">
        <v>-14.67</v>
      </c>
      <c r="L48">
        <v>-17.5</v>
      </c>
      <c r="M48" s="25">
        <v>-0.29549999999999998</v>
      </c>
      <c r="N48" s="25">
        <v>-0.63990000000000002</v>
      </c>
      <c r="O48">
        <v>0.46</v>
      </c>
      <c r="P48" s="25">
        <v>-2.5100000000000001E-2</v>
      </c>
      <c r="Q48" s="25">
        <v>0.11509999999999999</v>
      </c>
      <c r="R48" s="26">
        <v>2857.86</v>
      </c>
      <c r="S48" s="26">
        <v>-233585000</v>
      </c>
      <c r="T48">
        <v>-0.8</v>
      </c>
      <c r="U48" s="25">
        <v>0.21890000000000001</v>
      </c>
    </row>
    <row r="49" spans="1:21" x14ac:dyDescent="0.25">
      <c r="A49" t="s">
        <v>179</v>
      </c>
      <c r="B49">
        <v>4.8600000000000003</v>
      </c>
      <c r="C49">
        <v>-2.46</v>
      </c>
      <c r="D49">
        <v>-4.54</v>
      </c>
      <c r="E49">
        <v>7.8E-2</v>
      </c>
      <c r="F49" s="25">
        <v>0</v>
      </c>
      <c r="G49">
        <v>7.2999999999999995E-2</v>
      </c>
      <c r="H49">
        <v>0.4</v>
      </c>
      <c r="I49">
        <v>1.1299999999999999</v>
      </c>
      <c r="J49">
        <v>-0.17</v>
      </c>
      <c r="K49">
        <v>7.12</v>
      </c>
      <c r="L49">
        <v>5.51</v>
      </c>
      <c r="M49" s="25">
        <v>6.8400000000000002E-2</v>
      </c>
      <c r="N49" s="25">
        <v>-3.1300000000000001E-2</v>
      </c>
      <c r="O49">
        <v>1.48</v>
      </c>
      <c r="P49" s="25">
        <v>0.12130000000000001</v>
      </c>
      <c r="Q49" s="25">
        <v>1.8464</v>
      </c>
      <c r="R49" s="26">
        <v>112868000</v>
      </c>
      <c r="S49" s="26">
        <v>-650682000</v>
      </c>
      <c r="T49">
        <v>-42.2</v>
      </c>
      <c r="U49" s="25">
        <v>0.1232</v>
      </c>
    </row>
    <row r="50" spans="1:21" x14ac:dyDescent="0.25">
      <c r="A50" t="s">
        <v>6</v>
      </c>
      <c r="B50">
        <v>8.58</v>
      </c>
      <c r="C50">
        <v>7.16</v>
      </c>
      <c r="D50">
        <v>1.19</v>
      </c>
      <c r="E50">
        <v>0</v>
      </c>
      <c r="F50" s="25">
        <v>5.6599999999999998E-2</v>
      </c>
      <c r="G50">
        <v>0</v>
      </c>
      <c r="H50">
        <v>0</v>
      </c>
      <c r="I50">
        <v>0</v>
      </c>
      <c r="J50">
        <v>0</v>
      </c>
      <c r="K50">
        <v>0</v>
      </c>
      <c r="L50">
        <v>0</v>
      </c>
      <c r="M50" s="25">
        <v>0</v>
      </c>
      <c r="N50" s="25">
        <v>0</v>
      </c>
      <c r="O50">
        <v>0</v>
      </c>
      <c r="P50" s="25">
        <v>0</v>
      </c>
      <c r="Q50" s="25">
        <v>0.16669999999999999</v>
      </c>
      <c r="R50" s="26">
        <v>106462</v>
      </c>
      <c r="S50" s="26">
        <v>2271950000</v>
      </c>
      <c r="T50">
        <v>0</v>
      </c>
      <c r="U50" s="25">
        <v>0.13350000000000001</v>
      </c>
    </row>
    <row r="51" spans="1:21" x14ac:dyDescent="0.25">
      <c r="A51" t="s">
        <v>23</v>
      </c>
      <c r="B51">
        <v>8.65</v>
      </c>
      <c r="C51">
        <v>7.22</v>
      </c>
      <c r="D51">
        <v>1.2</v>
      </c>
      <c r="E51">
        <v>0</v>
      </c>
      <c r="F51" s="25">
        <v>5.62E-2</v>
      </c>
      <c r="G51">
        <v>0</v>
      </c>
      <c r="H51">
        <v>0</v>
      </c>
      <c r="I51">
        <v>0</v>
      </c>
      <c r="J51">
        <v>0</v>
      </c>
      <c r="K51">
        <v>0</v>
      </c>
      <c r="L51">
        <v>0</v>
      </c>
      <c r="M51" s="25">
        <v>0</v>
      </c>
      <c r="N51" s="25">
        <v>0</v>
      </c>
      <c r="O51">
        <v>0</v>
      </c>
      <c r="P51" s="25">
        <v>0</v>
      </c>
      <c r="Q51" s="25">
        <v>0.16669999999999999</v>
      </c>
      <c r="R51" s="26">
        <v>32748.9</v>
      </c>
      <c r="S51" s="26">
        <v>2271950000</v>
      </c>
      <c r="T51">
        <v>0</v>
      </c>
      <c r="U51" s="25">
        <v>0.13350000000000001</v>
      </c>
    </row>
    <row r="52" spans="1:21" x14ac:dyDescent="0.25">
      <c r="A52" t="s">
        <v>331</v>
      </c>
      <c r="B52">
        <v>35</v>
      </c>
      <c r="C52">
        <v>5.14</v>
      </c>
      <c r="D52">
        <v>0.93</v>
      </c>
      <c r="E52">
        <v>0</v>
      </c>
      <c r="F52" s="25">
        <v>0.1046</v>
      </c>
      <c r="G52">
        <v>0</v>
      </c>
      <c r="H52">
        <v>0</v>
      </c>
      <c r="I52">
        <v>0</v>
      </c>
      <c r="J52">
        <v>0</v>
      </c>
      <c r="K52">
        <v>0</v>
      </c>
      <c r="L52">
        <v>0</v>
      </c>
      <c r="M52" s="25">
        <v>0</v>
      </c>
      <c r="N52" s="25">
        <v>0</v>
      </c>
      <c r="O52">
        <v>0</v>
      </c>
      <c r="P52" s="25">
        <v>0</v>
      </c>
      <c r="Q52" s="25">
        <v>0.18110000000000001</v>
      </c>
      <c r="R52" s="26">
        <v>758</v>
      </c>
      <c r="S52" s="26">
        <v>810042000</v>
      </c>
      <c r="T52">
        <v>0</v>
      </c>
      <c r="U52" s="25">
        <v>2.1499999999999998E-2</v>
      </c>
    </row>
    <row r="53" spans="1:21" x14ac:dyDescent="0.25">
      <c r="A53" t="s">
        <v>332</v>
      </c>
      <c r="B53">
        <v>27.14</v>
      </c>
      <c r="C53">
        <v>3.99</v>
      </c>
      <c r="D53">
        <v>0.72</v>
      </c>
      <c r="E53">
        <v>0</v>
      </c>
      <c r="F53" s="25">
        <v>0.1484</v>
      </c>
      <c r="G53">
        <v>0</v>
      </c>
      <c r="H53">
        <v>0</v>
      </c>
      <c r="I53">
        <v>0</v>
      </c>
      <c r="J53">
        <v>0</v>
      </c>
      <c r="K53">
        <v>0</v>
      </c>
      <c r="L53">
        <v>0</v>
      </c>
      <c r="M53" s="25">
        <v>0</v>
      </c>
      <c r="N53" s="25">
        <v>0</v>
      </c>
      <c r="O53">
        <v>0</v>
      </c>
      <c r="P53" s="25">
        <v>0</v>
      </c>
      <c r="Q53" s="25">
        <v>0.18110000000000001</v>
      </c>
      <c r="R53" s="26">
        <v>59386.7</v>
      </c>
      <c r="S53" s="26">
        <v>810042000</v>
      </c>
      <c r="T53">
        <v>0</v>
      </c>
      <c r="U53" s="25">
        <v>2.1499999999999998E-2</v>
      </c>
    </row>
    <row r="54" spans="1:21" x14ac:dyDescent="0.25">
      <c r="A54" t="s">
        <v>333</v>
      </c>
      <c r="B54">
        <v>3.81</v>
      </c>
      <c r="C54">
        <v>-0.3</v>
      </c>
      <c r="D54">
        <v>0.17</v>
      </c>
      <c r="E54">
        <v>1.2999999999999999E-2</v>
      </c>
      <c r="F54" s="25">
        <v>0</v>
      </c>
      <c r="G54">
        <v>1.0999999999999999E-2</v>
      </c>
      <c r="H54">
        <v>-7.0000000000000007E-2</v>
      </c>
      <c r="I54">
        <v>0.19</v>
      </c>
      <c r="J54">
        <v>-0.02</v>
      </c>
      <c r="K54">
        <v>4.78</v>
      </c>
      <c r="L54">
        <v>3.04</v>
      </c>
      <c r="M54" s="25">
        <v>6.6900000000000001E-2</v>
      </c>
      <c r="N54" s="25">
        <v>-4.2799999999999998E-2</v>
      </c>
      <c r="O54">
        <v>0.74</v>
      </c>
      <c r="P54" s="25">
        <v>7.8200000000000006E-2</v>
      </c>
      <c r="Q54" s="25">
        <v>-0.5706</v>
      </c>
      <c r="R54" s="26">
        <v>21018100</v>
      </c>
      <c r="S54" s="26">
        <v>2089000000</v>
      </c>
      <c r="T54">
        <v>4.66</v>
      </c>
      <c r="U54" s="25">
        <v>-2.52E-2</v>
      </c>
    </row>
    <row r="55" spans="1:21" x14ac:dyDescent="0.25">
      <c r="A55" t="s">
        <v>334</v>
      </c>
      <c r="B55">
        <v>4.9000000000000004</v>
      </c>
      <c r="C55">
        <v>-1.78</v>
      </c>
      <c r="D55">
        <v>1.72</v>
      </c>
      <c r="E55">
        <v>0.36099999999999999</v>
      </c>
      <c r="F55" s="25">
        <v>0</v>
      </c>
      <c r="G55">
        <v>0.25800000000000001</v>
      </c>
      <c r="H55" s="26">
        <v>-1.21</v>
      </c>
      <c r="I55">
        <v>70.47</v>
      </c>
      <c r="J55">
        <v>-0.38</v>
      </c>
      <c r="K55">
        <v>91.21</v>
      </c>
      <c r="L55">
        <v>9.19</v>
      </c>
      <c r="M55" s="25">
        <v>5.1000000000000004E-3</v>
      </c>
      <c r="N55" s="25">
        <v>-0.2056</v>
      </c>
      <c r="O55">
        <v>0.32</v>
      </c>
      <c r="P55" s="25">
        <v>3.8999999999999998E-3</v>
      </c>
      <c r="Q55" s="25">
        <v>-0.9677</v>
      </c>
      <c r="R55" s="26">
        <v>19682.7</v>
      </c>
      <c r="S55" s="26">
        <v>75212000</v>
      </c>
      <c r="T55">
        <v>0.72</v>
      </c>
      <c r="U55" s="25">
        <v>0.13039999999999999</v>
      </c>
    </row>
    <row r="56" spans="1:21" x14ac:dyDescent="0.25">
      <c r="A56" t="s">
        <v>335</v>
      </c>
      <c r="B56">
        <v>7</v>
      </c>
      <c r="C56" s="26">
        <v>-12.36</v>
      </c>
      <c r="D56">
        <v>3.54</v>
      </c>
      <c r="E56">
        <v>6.1689999999999996</v>
      </c>
      <c r="F56" s="25">
        <v>0</v>
      </c>
      <c r="G56">
        <v>1.9810000000000001</v>
      </c>
      <c r="H56">
        <v>6.42</v>
      </c>
      <c r="I56">
        <v>-13.57</v>
      </c>
      <c r="J56">
        <v>34.619999999999997</v>
      </c>
      <c r="K56">
        <v>-13.61</v>
      </c>
      <c r="L56">
        <v>-13.48</v>
      </c>
      <c r="M56" s="25">
        <v>-0.4546</v>
      </c>
      <c r="N56" s="25">
        <v>-0.499</v>
      </c>
      <c r="O56">
        <v>2.64</v>
      </c>
      <c r="P56" s="25">
        <v>-0.218</v>
      </c>
      <c r="Q56" s="25">
        <v>-0.28610000000000002</v>
      </c>
      <c r="R56" s="26">
        <v>457869</v>
      </c>
      <c r="S56" s="26">
        <v>250993000</v>
      </c>
      <c r="T56">
        <v>0.46</v>
      </c>
      <c r="U56" s="25">
        <v>0.1827</v>
      </c>
    </row>
    <row r="57" spans="1:21" x14ac:dyDescent="0.25">
      <c r="A57" t="s">
        <v>187</v>
      </c>
      <c r="B57">
        <v>13.7</v>
      </c>
      <c r="C57">
        <v>9.17</v>
      </c>
      <c r="D57">
        <v>1.1200000000000001</v>
      </c>
      <c r="E57">
        <v>1.39</v>
      </c>
      <c r="F57" s="25">
        <v>3.49E-2</v>
      </c>
      <c r="G57">
        <v>0.71599999999999997</v>
      </c>
      <c r="H57">
        <v>2.16</v>
      </c>
      <c r="I57">
        <v>6.59</v>
      </c>
      <c r="J57">
        <v>6.09</v>
      </c>
      <c r="K57">
        <v>6.77</v>
      </c>
      <c r="L57">
        <v>5.91</v>
      </c>
      <c r="M57" s="25">
        <v>0.2109</v>
      </c>
      <c r="N57" s="25">
        <v>0.1497</v>
      </c>
      <c r="O57">
        <v>3.23</v>
      </c>
      <c r="P57" s="25">
        <v>0.13789999999999999</v>
      </c>
      <c r="Q57" s="25">
        <v>0.12180000000000001</v>
      </c>
      <c r="R57" s="26">
        <v>4693860</v>
      </c>
      <c r="S57" s="26">
        <v>2201560000</v>
      </c>
      <c r="T57">
        <v>0.23</v>
      </c>
      <c r="U57" s="25">
        <v>7.4300000000000005E-2</v>
      </c>
    </row>
    <row r="58" spans="1:21" x14ac:dyDescent="0.25">
      <c r="A58" t="s">
        <v>336</v>
      </c>
      <c r="B58">
        <v>5.14</v>
      </c>
      <c r="C58">
        <v>-5.63</v>
      </c>
      <c r="D58">
        <v>0.46</v>
      </c>
      <c r="E58">
        <v>0</v>
      </c>
      <c r="F58" s="25">
        <v>0</v>
      </c>
      <c r="G58">
        <v>0.13800000000000001</v>
      </c>
      <c r="H58">
        <v>-0.76</v>
      </c>
      <c r="I58">
        <v>-42.93</v>
      </c>
      <c r="J58">
        <v>-0.2</v>
      </c>
      <c r="K58">
        <v>-53.97</v>
      </c>
      <c r="L58">
        <v>-53.97</v>
      </c>
      <c r="M58" s="25">
        <v>0</v>
      </c>
      <c r="N58" s="25">
        <v>0</v>
      </c>
      <c r="O58">
        <v>0</v>
      </c>
      <c r="P58" s="25">
        <v>-3.3E-3</v>
      </c>
      <c r="Q58" s="25">
        <v>-8.2400000000000001E-2</v>
      </c>
      <c r="R58" s="26">
        <v>3091.81</v>
      </c>
      <c r="S58" s="26">
        <v>56569000</v>
      </c>
      <c r="T58">
        <v>0.12</v>
      </c>
      <c r="U58" s="25">
        <v>0</v>
      </c>
    </row>
    <row r="59" spans="1:21" x14ac:dyDescent="0.25">
      <c r="A59" t="s">
        <v>337</v>
      </c>
      <c r="B59">
        <v>1.52</v>
      </c>
      <c r="C59">
        <v>-1.66</v>
      </c>
      <c r="D59">
        <v>0.14000000000000001</v>
      </c>
      <c r="E59">
        <v>0</v>
      </c>
      <c r="F59" s="25">
        <v>0</v>
      </c>
      <c r="G59">
        <v>4.1000000000000002E-2</v>
      </c>
      <c r="H59">
        <v>-0.22</v>
      </c>
      <c r="I59">
        <v>-12.69</v>
      </c>
      <c r="J59">
        <v>-0.06</v>
      </c>
      <c r="K59">
        <v>-23.74</v>
      </c>
      <c r="L59">
        <v>-23.74</v>
      </c>
      <c r="M59" s="25">
        <v>0</v>
      </c>
      <c r="N59" s="25">
        <v>0</v>
      </c>
      <c r="O59">
        <v>0</v>
      </c>
      <c r="P59" s="25">
        <v>-3.3E-3</v>
      </c>
      <c r="Q59" s="25">
        <v>-8.2400000000000001E-2</v>
      </c>
      <c r="R59" s="26">
        <v>10453.200000000001</v>
      </c>
      <c r="S59" s="26">
        <v>56569000</v>
      </c>
      <c r="T59">
        <v>0.12</v>
      </c>
      <c r="U59" s="25">
        <v>0</v>
      </c>
    </row>
    <row r="60" spans="1:21" x14ac:dyDescent="0.25">
      <c r="A60" t="s">
        <v>338</v>
      </c>
      <c r="B60">
        <v>34</v>
      </c>
      <c r="C60">
        <v>4.3099999999999996</v>
      </c>
      <c r="D60">
        <v>1.88</v>
      </c>
      <c r="E60">
        <v>0</v>
      </c>
      <c r="F60" s="25">
        <v>5.9499999999999997E-2</v>
      </c>
      <c r="G60">
        <v>0</v>
      </c>
      <c r="H60">
        <v>0</v>
      </c>
      <c r="I60">
        <v>0</v>
      </c>
      <c r="J60">
        <v>0</v>
      </c>
      <c r="K60">
        <v>0</v>
      </c>
      <c r="L60">
        <v>0</v>
      </c>
      <c r="M60" s="25">
        <v>0</v>
      </c>
      <c r="N60" s="25">
        <v>0</v>
      </c>
      <c r="O60">
        <v>0</v>
      </c>
      <c r="P60" s="25">
        <v>0</v>
      </c>
      <c r="Q60" s="25">
        <v>0.43669999999999998</v>
      </c>
      <c r="R60" s="26">
        <v>22436.7</v>
      </c>
      <c r="S60" s="26">
        <v>1894930000</v>
      </c>
      <c r="T60">
        <v>0</v>
      </c>
      <c r="U60" s="25">
        <v>0.2278</v>
      </c>
    </row>
    <row r="61" spans="1:21" x14ac:dyDescent="0.25">
      <c r="A61" t="s">
        <v>92</v>
      </c>
      <c r="B61">
        <v>40.6</v>
      </c>
      <c r="C61">
        <v>5.14</v>
      </c>
      <c r="D61">
        <v>2.25</v>
      </c>
      <c r="E61">
        <v>0</v>
      </c>
      <c r="F61" s="25">
        <v>5.4800000000000001E-2</v>
      </c>
      <c r="G61">
        <v>0</v>
      </c>
      <c r="H61">
        <v>0</v>
      </c>
      <c r="I61">
        <v>0</v>
      </c>
      <c r="J61">
        <v>0</v>
      </c>
      <c r="K61">
        <v>0</v>
      </c>
      <c r="L61">
        <v>0</v>
      </c>
      <c r="M61" s="25">
        <v>0</v>
      </c>
      <c r="N61" s="25">
        <v>0</v>
      </c>
      <c r="O61">
        <v>0</v>
      </c>
      <c r="P61" s="25">
        <v>0</v>
      </c>
      <c r="Q61" s="25">
        <v>0.43669999999999998</v>
      </c>
      <c r="R61" s="26">
        <v>517090</v>
      </c>
      <c r="S61" s="26">
        <v>1894930000</v>
      </c>
      <c r="T61">
        <v>0</v>
      </c>
      <c r="U61" s="25">
        <v>0.2278</v>
      </c>
    </row>
    <row r="62" spans="1:21" x14ac:dyDescent="0.25">
      <c r="A62" t="s">
        <v>46</v>
      </c>
      <c r="B62">
        <v>3.67</v>
      </c>
      <c r="C62">
        <v>4.8600000000000003</v>
      </c>
      <c r="D62">
        <v>0.59</v>
      </c>
      <c r="E62">
        <v>0</v>
      </c>
      <c r="F62" s="25">
        <v>0.1052</v>
      </c>
      <c r="G62">
        <v>0</v>
      </c>
      <c r="H62">
        <v>0</v>
      </c>
      <c r="I62">
        <v>0</v>
      </c>
      <c r="J62">
        <v>0</v>
      </c>
      <c r="K62">
        <v>0</v>
      </c>
      <c r="L62">
        <v>0</v>
      </c>
      <c r="M62" s="25">
        <v>0</v>
      </c>
      <c r="N62" s="25">
        <v>0</v>
      </c>
      <c r="O62">
        <v>0</v>
      </c>
      <c r="P62" s="25">
        <v>0</v>
      </c>
      <c r="Q62" s="25">
        <v>0.1207</v>
      </c>
      <c r="R62" s="26">
        <v>1519600</v>
      </c>
      <c r="S62" s="26">
        <v>3648070000</v>
      </c>
      <c r="T62">
        <v>0</v>
      </c>
      <c r="U62" s="25">
        <v>-4.4499999999999998E-2</v>
      </c>
    </row>
    <row r="63" spans="1:21" x14ac:dyDescent="0.25">
      <c r="A63" t="s">
        <v>339</v>
      </c>
      <c r="B63">
        <v>20</v>
      </c>
      <c r="C63">
        <v>11.63</v>
      </c>
      <c r="D63">
        <v>0.69</v>
      </c>
      <c r="E63">
        <v>0</v>
      </c>
      <c r="F63" s="25">
        <v>1.77E-2</v>
      </c>
      <c r="G63">
        <v>0</v>
      </c>
      <c r="H63">
        <v>0</v>
      </c>
      <c r="I63">
        <v>0</v>
      </c>
      <c r="J63">
        <v>0</v>
      </c>
      <c r="K63">
        <v>0</v>
      </c>
      <c r="L63">
        <v>0</v>
      </c>
      <c r="M63" s="25">
        <v>0</v>
      </c>
      <c r="N63" s="25">
        <v>0</v>
      </c>
      <c r="O63">
        <v>0</v>
      </c>
      <c r="P63" s="25">
        <v>0</v>
      </c>
      <c r="Q63" s="25">
        <v>5.9400000000000001E-2</v>
      </c>
      <c r="R63" s="26">
        <v>271.05</v>
      </c>
      <c r="S63" s="26">
        <v>139754000</v>
      </c>
      <c r="T63">
        <v>0</v>
      </c>
      <c r="U63" s="25">
        <v>0.17380000000000001</v>
      </c>
    </row>
    <row r="64" spans="1:21" x14ac:dyDescent="0.25">
      <c r="A64" t="s">
        <v>340</v>
      </c>
      <c r="B64">
        <v>16.63</v>
      </c>
      <c r="C64">
        <v>9.67</v>
      </c>
      <c r="D64">
        <v>0.56999999999999995</v>
      </c>
      <c r="E64">
        <v>0</v>
      </c>
      <c r="F64" s="25">
        <v>8.4199999999999997E-2</v>
      </c>
      <c r="G64">
        <v>0</v>
      </c>
      <c r="H64">
        <v>0</v>
      </c>
      <c r="I64">
        <v>0</v>
      </c>
      <c r="J64">
        <v>0</v>
      </c>
      <c r="K64">
        <v>0</v>
      </c>
      <c r="L64">
        <v>0</v>
      </c>
      <c r="M64" s="25">
        <v>0</v>
      </c>
      <c r="N64" s="25">
        <v>0</v>
      </c>
      <c r="O64">
        <v>0</v>
      </c>
      <c r="P64" s="25">
        <v>0</v>
      </c>
      <c r="Q64" s="25">
        <v>5.9400000000000001E-2</v>
      </c>
      <c r="R64" s="26">
        <v>1628.26</v>
      </c>
      <c r="S64" s="26">
        <v>139754000</v>
      </c>
      <c r="T64">
        <v>0</v>
      </c>
      <c r="U64" s="25">
        <v>0.17380000000000001</v>
      </c>
    </row>
    <row r="65" spans="1:21" x14ac:dyDescent="0.25">
      <c r="A65" t="s">
        <v>341</v>
      </c>
      <c r="B65">
        <v>425</v>
      </c>
      <c r="C65">
        <v>12.83</v>
      </c>
      <c r="D65">
        <v>0.94</v>
      </c>
      <c r="E65">
        <v>12.345000000000001</v>
      </c>
      <c r="F65" s="25">
        <v>7.8E-2</v>
      </c>
      <c r="G65">
        <v>0.81399999999999995</v>
      </c>
      <c r="H65">
        <v>1.1200000000000001</v>
      </c>
      <c r="I65">
        <v>-38.24</v>
      </c>
      <c r="J65">
        <v>1.28</v>
      </c>
      <c r="K65">
        <v>-5.83</v>
      </c>
      <c r="L65">
        <v>-5.98</v>
      </c>
      <c r="M65" s="25">
        <v>-0.32279999999999998</v>
      </c>
      <c r="N65" s="25">
        <v>0.96220000000000006</v>
      </c>
      <c r="O65">
        <v>20.54</v>
      </c>
      <c r="P65" s="25">
        <v>-7.3800000000000004E-2</v>
      </c>
      <c r="Q65" s="25">
        <v>7.2900000000000006E-2</v>
      </c>
      <c r="R65" s="26">
        <v>32027.3</v>
      </c>
      <c r="S65" s="26">
        <v>206593000</v>
      </c>
      <c r="T65">
        <v>0.02</v>
      </c>
      <c r="U65" s="25">
        <v>-8.5099999999999995E-2</v>
      </c>
    </row>
    <row r="66" spans="1:21" x14ac:dyDescent="0.25">
      <c r="A66" t="s">
        <v>25</v>
      </c>
      <c r="B66">
        <v>19.100000000000001</v>
      </c>
      <c r="C66">
        <v>12.7</v>
      </c>
      <c r="D66">
        <v>1.41</v>
      </c>
      <c r="E66">
        <v>1.0660000000000001</v>
      </c>
      <c r="F66" s="25">
        <v>7.0099999999999996E-2</v>
      </c>
      <c r="G66">
        <v>1.0049999999999999</v>
      </c>
      <c r="H66">
        <v>2.4300000000000002</v>
      </c>
      <c r="I66">
        <v>13.25</v>
      </c>
      <c r="J66">
        <v>2.64</v>
      </c>
      <c r="K66">
        <v>9.0299999999999994</v>
      </c>
      <c r="L66">
        <v>5.83</v>
      </c>
      <c r="M66" s="25">
        <v>8.0500000000000002E-2</v>
      </c>
      <c r="N66" s="25">
        <v>8.4500000000000006E-2</v>
      </c>
      <c r="O66">
        <v>2.65</v>
      </c>
      <c r="P66" s="25">
        <v>0.12670000000000001</v>
      </c>
      <c r="Q66" s="25">
        <v>0.11070000000000001</v>
      </c>
      <c r="R66" s="26">
        <v>5643980</v>
      </c>
      <c r="S66" s="26">
        <v>1163230000</v>
      </c>
      <c r="T66">
        <v>0</v>
      </c>
      <c r="U66" s="25">
        <v>0.58779999999999999</v>
      </c>
    </row>
    <row r="67" spans="1:21" x14ac:dyDescent="0.25">
      <c r="A67" t="s">
        <v>342</v>
      </c>
      <c r="B67">
        <v>95.26</v>
      </c>
      <c r="C67">
        <v>4.3099999999999996</v>
      </c>
      <c r="D67">
        <v>0.67</v>
      </c>
      <c r="E67">
        <v>0</v>
      </c>
      <c r="F67" s="25">
        <v>0.06</v>
      </c>
      <c r="G67">
        <v>0</v>
      </c>
      <c r="H67">
        <v>0</v>
      </c>
      <c r="I67">
        <v>0</v>
      </c>
      <c r="J67">
        <v>0</v>
      </c>
      <c r="K67">
        <v>0</v>
      </c>
      <c r="L67">
        <v>0</v>
      </c>
      <c r="M67" s="25">
        <v>0</v>
      </c>
      <c r="N67" s="25">
        <v>0</v>
      </c>
      <c r="O67">
        <v>0</v>
      </c>
      <c r="P67" s="25">
        <v>0</v>
      </c>
      <c r="Q67" s="25">
        <v>0.1547</v>
      </c>
      <c r="R67" s="26">
        <v>15446.7</v>
      </c>
      <c r="S67" s="26">
        <v>14115100000</v>
      </c>
      <c r="T67">
        <v>0</v>
      </c>
      <c r="U67" s="25">
        <v>0.1033</v>
      </c>
    </row>
    <row r="68" spans="1:21" x14ac:dyDescent="0.25">
      <c r="A68" t="s">
        <v>185</v>
      </c>
      <c r="B68">
        <v>1.59</v>
      </c>
      <c r="C68">
        <v>5.68</v>
      </c>
      <c r="D68">
        <v>438.78</v>
      </c>
      <c r="E68">
        <v>0.26900000000000002</v>
      </c>
      <c r="F68" s="25">
        <v>0</v>
      </c>
      <c r="G68">
        <v>0.44900000000000001</v>
      </c>
      <c r="H68">
        <v>-24.53</v>
      </c>
      <c r="I68">
        <v>2.0299999999999998</v>
      </c>
      <c r="J68">
        <v>-0.98</v>
      </c>
      <c r="K68">
        <v>3.31</v>
      </c>
      <c r="L68">
        <v>2.93</v>
      </c>
      <c r="M68" s="25">
        <v>0.13239999999999999</v>
      </c>
      <c r="N68" s="25">
        <v>4.7300000000000002E-2</v>
      </c>
      <c r="O68">
        <v>0.97</v>
      </c>
      <c r="P68" s="25">
        <v>0.33329999999999999</v>
      </c>
      <c r="Q68" s="25">
        <v>77.215000000000003</v>
      </c>
      <c r="R68" s="26">
        <v>45099</v>
      </c>
      <c r="S68" s="26">
        <v>944000</v>
      </c>
      <c r="T68">
        <v>400.27</v>
      </c>
      <c r="U68" s="25">
        <v>0.1055</v>
      </c>
    </row>
    <row r="69" spans="1:21" x14ac:dyDescent="0.25">
      <c r="A69" t="s">
        <v>343</v>
      </c>
      <c r="B69">
        <v>40.51</v>
      </c>
      <c r="C69">
        <v>12.71</v>
      </c>
      <c r="D69">
        <v>2.6</v>
      </c>
      <c r="E69">
        <v>0</v>
      </c>
      <c r="F69" s="25">
        <v>2.12E-2</v>
      </c>
      <c r="G69">
        <v>0</v>
      </c>
      <c r="H69">
        <v>0</v>
      </c>
      <c r="I69">
        <v>0</v>
      </c>
      <c r="J69">
        <v>0</v>
      </c>
      <c r="K69">
        <v>0</v>
      </c>
      <c r="L69">
        <v>0</v>
      </c>
      <c r="M69" s="25">
        <v>0</v>
      </c>
      <c r="N69" s="25">
        <v>0</v>
      </c>
      <c r="O69">
        <v>0</v>
      </c>
      <c r="P69" s="25">
        <v>0</v>
      </c>
      <c r="Q69" s="25">
        <v>0.20449999999999999</v>
      </c>
      <c r="R69" s="26">
        <v>290123000</v>
      </c>
      <c r="S69" s="26">
        <v>59778600000</v>
      </c>
      <c r="T69">
        <v>0</v>
      </c>
      <c r="U69" s="25">
        <v>0.31590000000000001</v>
      </c>
    </row>
    <row r="70" spans="1:21" x14ac:dyDescent="0.25">
      <c r="A70" t="s">
        <v>141</v>
      </c>
      <c r="B70">
        <v>22.84</v>
      </c>
      <c r="C70">
        <v>21.5</v>
      </c>
      <c r="D70">
        <v>4.4000000000000004</v>
      </c>
      <c r="E70">
        <v>0</v>
      </c>
      <c r="F70" s="25">
        <v>1.2500000000000001E-2</v>
      </c>
      <c r="G70">
        <v>0</v>
      </c>
      <c r="H70">
        <v>0</v>
      </c>
      <c r="I70">
        <v>0</v>
      </c>
      <c r="J70">
        <v>0</v>
      </c>
      <c r="K70">
        <v>0</v>
      </c>
      <c r="L70">
        <v>0</v>
      </c>
      <c r="M70" s="25">
        <v>0</v>
      </c>
      <c r="N70" s="25">
        <v>0</v>
      </c>
      <c r="O70">
        <v>0</v>
      </c>
      <c r="P70" s="25">
        <v>0</v>
      </c>
      <c r="Q70" s="25">
        <v>0.20449999999999999</v>
      </c>
      <c r="R70" s="26">
        <v>84262.1</v>
      </c>
      <c r="S70" s="26">
        <v>59778600000</v>
      </c>
      <c r="T70">
        <v>0</v>
      </c>
      <c r="U70" s="25">
        <v>0.31590000000000001</v>
      </c>
    </row>
    <row r="71" spans="1:21" x14ac:dyDescent="0.25">
      <c r="A71" t="s">
        <v>148</v>
      </c>
      <c r="B71">
        <v>8.8000000000000007</v>
      </c>
      <c r="C71">
        <v>8.2799999999999994</v>
      </c>
      <c r="D71">
        <v>1.69</v>
      </c>
      <c r="E71">
        <v>0</v>
      </c>
      <c r="F71" s="25">
        <v>3.2500000000000001E-2</v>
      </c>
      <c r="G71">
        <v>0</v>
      </c>
      <c r="H71">
        <v>0</v>
      </c>
      <c r="I71">
        <v>0</v>
      </c>
      <c r="J71">
        <v>0</v>
      </c>
      <c r="K71">
        <v>0</v>
      </c>
      <c r="L71">
        <v>0</v>
      </c>
      <c r="M71" s="25">
        <v>0</v>
      </c>
      <c r="N71" s="25">
        <v>0</v>
      </c>
      <c r="O71">
        <v>0</v>
      </c>
      <c r="P71" s="25">
        <v>0</v>
      </c>
      <c r="Q71" s="25">
        <v>0.20449999999999999</v>
      </c>
      <c r="R71" s="26">
        <v>44940</v>
      </c>
      <c r="S71" s="26">
        <v>59778600000</v>
      </c>
      <c r="T71">
        <v>0</v>
      </c>
      <c r="U71" s="25">
        <v>0.31590000000000001</v>
      </c>
    </row>
    <row r="72" spans="1:21" x14ac:dyDescent="0.25">
      <c r="A72" t="s">
        <v>76</v>
      </c>
      <c r="B72">
        <v>8.15</v>
      </c>
      <c r="C72">
        <v>13.2</v>
      </c>
      <c r="D72">
        <v>1.37</v>
      </c>
      <c r="E72">
        <v>0</v>
      </c>
      <c r="F72" s="25">
        <v>2.9600000000000001E-2</v>
      </c>
      <c r="G72">
        <v>0</v>
      </c>
      <c r="H72">
        <v>0</v>
      </c>
      <c r="I72">
        <v>0</v>
      </c>
      <c r="J72">
        <v>0</v>
      </c>
      <c r="K72">
        <v>0</v>
      </c>
      <c r="L72">
        <v>0</v>
      </c>
      <c r="M72" s="25">
        <v>0</v>
      </c>
      <c r="N72" s="25">
        <v>0</v>
      </c>
      <c r="O72">
        <v>0</v>
      </c>
      <c r="P72" s="25">
        <v>0</v>
      </c>
      <c r="Q72" s="25">
        <v>0.10340000000000001</v>
      </c>
      <c r="R72" s="26">
        <v>13421400</v>
      </c>
      <c r="S72" s="26">
        <v>7575030000</v>
      </c>
      <c r="T72">
        <v>0</v>
      </c>
      <c r="U72" s="25">
        <v>3.8699999999999998E-2</v>
      </c>
    </row>
    <row r="73" spans="1:21" x14ac:dyDescent="0.25">
      <c r="A73" t="s">
        <v>28</v>
      </c>
      <c r="B73">
        <v>14.5</v>
      </c>
      <c r="C73">
        <v>4.88</v>
      </c>
      <c r="D73">
        <v>0.66</v>
      </c>
      <c r="E73">
        <v>0</v>
      </c>
      <c r="F73" s="25">
        <v>0.12720000000000001</v>
      </c>
      <c r="G73">
        <v>0.64800000000000002</v>
      </c>
      <c r="H73">
        <v>9.67</v>
      </c>
      <c r="I73">
        <v>-191.81</v>
      </c>
      <c r="J73">
        <v>9.74</v>
      </c>
      <c r="K73">
        <v>-167.88</v>
      </c>
      <c r="L73">
        <v>-167.88</v>
      </c>
      <c r="M73" s="25">
        <v>0</v>
      </c>
      <c r="N73" s="25">
        <v>0</v>
      </c>
      <c r="O73">
        <v>5.83</v>
      </c>
      <c r="P73" s="25">
        <v>-3.7000000000000002E-3</v>
      </c>
      <c r="Q73" s="25">
        <v>0.13469999999999999</v>
      </c>
      <c r="R73" s="26">
        <v>1198010</v>
      </c>
      <c r="S73" s="26">
        <v>8667970000</v>
      </c>
      <c r="T73">
        <v>0</v>
      </c>
      <c r="U73" s="25">
        <v>0</v>
      </c>
    </row>
    <row r="74" spans="1:21" x14ac:dyDescent="0.25">
      <c r="A74" t="s">
        <v>127</v>
      </c>
      <c r="B74">
        <v>15.61</v>
      </c>
      <c r="C74">
        <v>5.26</v>
      </c>
      <c r="D74">
        <v>0.71</v>
      </c>
      <c r="E74">
        <v>0</v>
      </c>
      <c r="F74" s="25">
        <v>0.13</v>
      </c>
      <c r="G74">
        <v>0.69799999999999995</v>
      </c>
      <c r="H74">
        <v>10.41</v>
      </c>
      <c r="I74">
        <v>-206.5</v>
      </c>
      <c r="J74">
        <v>10.48</v>
      </c>
      <c r="K74">
        <v>-182.56</v>
      </c>
      <c r="L74">
        <v>-182.56</v>
      </c>
      <c r="M74" s="25">
        <v>0</v>
      </c>
      <c r="N74" s="25">
        <v>0</v>
      </c>
      <c r="O74">
        <v>5.83</v>
      </c>
      <c r="P74" s="25">
        <v>-3.7000000000000002E-3</v>
      </c>
      <c r="Q74" s="25">
        <v>0.13469999999999999</v>
      </c>
      <c r="R74" s="26">
        <v>70695200</v>
      </c>
      <c r="S74" s="26">
        <v>8667970000</v>
      </c>
      <c r="T74">
        <v>0</v>
      </c>
      <c r="U74" s="25">
        <v>0</v>
      </c>
    </row>
    <row r="75" spans="1:21" x14ac:dyDescent="0.25">
      <c r="A75" t="s">
        <v>61</v>
      </c>
      <c r="B75">
        <v>20.78</v>
      </c>
      <c r="C75">
        <v>62.19</v>
      </c>
      <c r="D75">
        <v>0.86</v>
      </c>
      <c r="E75">
        <v>1.0049999999999999</v>
      </c>
      <c r="F75" s="25">
        <v>0</v>
      </c>
      <c r="G75">
        <v>0.223</v>
      </c>
      <c r="H75">
        <v>4.66</v>
      </c>
      <c r="I75">
        <v>4.99</v>
      </c>
      <c r="J75">
        <v>-0.39</v>
      </c>
      <c r="K75">
        <v>11.87</v>
      </c>
      <c r="L75">
        <v>6.71</v>
      </c>
      <c r="M75" s="25">
        <v>0.20169999999999999</v>
      </c>
      <c r="N75" s="25">
        <v>1.5599999999999999E-2</v>
      </c>
      <c r="O75">
        <v>1.4</v>
      </c>
      <c r="P75" s="25">
        <v>5.3100000000000001E-2</v>
      </c>
      <c r="Q75" s="25">
        <v>1.3899999999999999E-2</v>
      </c>
      <c r="R75" s="26">
        <v>158959000</v>
      </c>
      <c r="S75" s="26">
        <v>11151200000</v>
      </c>
      <c r="T75">
        <v>1.59</v>
      </c>
      <c r="U75" s="25">
        <v>1.2646999999999999</v>
      </c>
    </row>
    <row r="76" spans="1:21" x14ac:dyDescent="0.25">
      <c r="A76" t="s">
        <v>344</v>
      </c>
      <c r="B76">
        <v>15.46</v>
      </c>
      <c r="C76">
        <v>8.67</v>
      </c>
      <c r="D76">
        <v>2.04</v>
      </c>
      <c r="E76">
        <v>4.4240000000000004</v>
      </c>
      <c r="F76" s="25">
        <v>0.13</v>
      </c>
      <c r="G76">
        <v>0.105</v>
      </c>
      <c r="H76">
        <v>2.56</v>
      </c>
      <c r="I76">
        <v>76.34</v>
      </c>
      <c r="J76">
        <v>2.56</v>
      </c>
      <c r="K76">
        <v>22.88</v>
      </c>
      <c r="L76">
        <v>15.93</v>
      </c>
      <c r="M76" s="25">
        <v>5.8000000000000003E-2</v>
      </c>
      <c r="N76" s="25">
        <v>0.51049999999999995</v>
      </c>
      <c r="O76">
        <v>1.04</v>
      </c>
      <c r="P76" s="25">
        <v>0.1241</v>
      </c>
      <c r="Q76" s="25">
        <v>0.23530000000000001</v>
      </c>
      <c r="R76" s="26">
        <v>3938290</v>
      </c>
      <c r="S76" s="26">
        <v>796079000</v>
      </c>
      <c r="T76">
        <v>17.75</v>
      </c>
      <c r="U76" s="25">
        <v>-0.2029</v>
      </c>
    </row>
    <row r="77" spans="1:21" x14ac:dyDescent="0.25">
      <c r="A77" t="s">
        <v>135</v>
      </c>
      <c r="B77">
        <v>21</v>
      </c>
      <c r="C77">
        <v>9.2200000000000006</v>
      </c>
      <c r="D77">
        <v>2.2000000000000002</v>
      </c>
      <c r="E77">
        <v>0.55600000000000005</v>
      </c>
      <c r="F77" s="25">
        <v>3.3599999999999998E-2</v>
      </c>
      <c r="G77">
        <v>0.56200000000000006</v>
      </c>
      <c r="H77">
        <v>3.57</v>
      </c>
      <c r="I77">
        <v>4.75</v>
      </c>
      <c r="J77">
        <v>-2.5099999999999998</v>
      </c>
      <c r="K77">
        <v>5.68</v>
      </c>
      <c r="L77">
        <v>3.86</v>
      </c>
      <c r="M77" s="25">
        <v>0.1171</v>
      </c>
      <c r="N77" s="25">
        <v>6.7400000000000002E-2</v>
      </c>
      <c r="O77">
        <v>1.46</v>
      </c>
      <c r="P77" s="25">
        <v>0.21329999999999999</v>
      </c>
      <c r="Q77" s="25">
        <v>0.2389</v>
      </c>
      <c r="R77" s="26">
        <v>195425000</v>
      </c>
      <c r="S77" s="26">
        <v>16044400000</v>
      </c>
      <c r="T77">
        <v>1.24</v>
      </c>
      <c r="U77" s="25">
        <v>9.9400000000000002E-2</v>
      </c>
    </row>
    <row r="78" spans="1:21" x14ac:dyDescent="0.25">
      <c r="A78" t="s">
        <v>247</v>
      </c>
      <c r="B78">
        <v>11.01</v>
      </c>
      <c r="C78">
        <v>-0.95</v>
      </c>
      <c r="D78">
        <v>-2.0699999999999998</v>
      </c>
      <c r="E78">
        <v>0.111</v>
      </c>
      <c r="F78" s="25">
        <v>0</v>
      </c>
      <c r="G78">
        <v>9.1999999999999998E-2</v>
      </c>
      <c r="H78">
        <v>1.07</v>
      </c>
      <c r="I78">
        <v>9.6199999999999992</v>
      </c>
      <c r="J78">
        <v>-0.13</v>
      </c>
      <c r="K78">
        <v>49.22</v>
      </c>
      <c r="L78">
        <v>7.71</v>
      </c>
      <c r="M78" s="25">
        <v>1.1599999999999999E-2</v>
      </c>
      <c r="N78" s="25">
        <v>-0.127</v>
      </c>
      <c r="O78">
        <v>1.32</v>
      </c>
      <c r="P78" s="25">
        <v>1.37E-2</v>
      </c>
      <c r="Q78" s="25">
        <v>2.19</v>
      </c>
      <c r="R78" s="26">
        <v>356911</v>
      </c>
      <c r="S78" s="26">
        <v>-4236000000</v>
      </c>
      <c r="T78">
        <v>-11.6</v>
      </c>
      <c r="U78" s="25">
        <v>-1.7999999999999999E-2</v>
      </c>
    </row>
    <row r="79" spans="1:21" x14ac:dyDescent="0.25">
      <c r="A79" t="s">
        <v>345</v>
      </c>
      <c r="B79">
        <v>10.15</v>
      </c>
      <c r="C79">
        <v>-0.87</v>
      </c>
      <c r="D79">
        <v>-1.91</v>
      </c>
      <c r="E79">
        <v>0.10199999999999999</v>
      </c>
      <c r="F79" s="25">
        <v>0</v>
      </c>
      <c r="G79">
        <v>8.5000000000000006E-2</v>
      </c>
      <c r="H79">
        <v>0.99</v>
      </c>
      <c r="I79">
        <v>8.8699999999999992</v>
      </c>
      <c r="J79">
        <v>-0.12</v>
      </c>
      <c r="K79">
        <v>48.47</v>
      </c>
      <c r="L79">
        <v>7.59</v>
      </c>
      <c r="M79" s="25">
        <v>1.1599999999999999E-2</v>
      </c>
      <c r="N79" s="25">
        <v>-0.127</v>
      </c>
      <c r="O79">
        <v>1.32</v>
      </c>
      <c r="P79" s="25">
        <v>1.37E-2</v>
      </c>
      <c r="Q79" s="25">
        <v>2.19</v>
      </c>
      <c r="R79" s="26">
        <v>40971900</v>
      </c>
      <c r="S79" s="26">
        <v>-4236000000</v>
      </c>
      <c r="T79">
        <v>-11.6</v>
      </c>
      <c r="U79" s="25">
        <v>-1.7999999999999999E-2</v>
      </c>
    </row>
    <row r="80" spans="1:21" x14ac:dyDescent="0.25">
      <c r="A80" t="s">
        <v>346</v>
      </c>
      <c r="B80">
        <v>8</v>
      </c>
      <c r="C80">
        <v>-0.69</v>
      </c>
      <c r="D80">
        <v>-1.51</v>
      </c>
      <c r="E80">
        <v>8.1000000000000003E-2</v>
      </c>
      <c r="F80" s="25">
        <v>0</v>
      </c>
      <c r="G80">
        <v>6.7000000000000004E-2</v>
      </c>
      <c r="H80">
        <v>0.78</v>
      </c>
      <c r="I80">
        <v>6.99</v>
      </c>
      <c r="J80">
        <v>-0.1</v>
      </c>
      <c r="K80">
        <v>46.59</v>
      </c>
      <c r="L80">
        <v>7.3</v>
      </c>
      <c r="M80" s="25">
        <v>1.1599999999999999E-2</v>
      </c>
      <c r="N80" s="25">
        <v>-0.127</v>
      </c>
      <c r="O80">
        <v>1.32</v>
      </c>
      <c r="P80" s="25">
        <v>1.37E-2</v>
      </c>
      <c r="Q80" s="25">
        <v>2.19</v>
      </c>
      <c r="R80" s="26">
        <v>360.1</v>
      </c>
      <c r="S80" s="26">
        <v>-4236000000</v>
      </c>
      <c r="T80">
        <v>-11.6</v>
      </c>
      <c r="U80" s="25">
        <v>-1.7999999999999999E-2</v>
      </c>
    </row>
    <row r="81" spans="1:21" x14ac:dyDescent="0.25">
      <c r="A81" t="s">
        <v>347</v>
      </c>
      <c r="B81">
        <v>11.9</v>
      </c>
      <c r="C81">
        <v>5.0199999999999996</v>
      </c>
      <c r="D81">
        <v>0.47</v>
      </c>
      <c r="E81">
        <v>0</v>
      </c>
      <c r="F81" s="25">
        <v>0.1022</v>
      </c>
      <c r="G81">
        <v>0</v>
      </c>
      <c r="H81" s="26">
        <v>0</v>
      </c>
      <c r="I81">
        <v>0</v>
      </c>
      <c r="J81">
        <v>0</v>
      </c>
      <c r="K81">
        <v>0</v>
      </c>
      <c r="L81">
        <v>0</v>
      </c>
      <c r="M81" s="25">
        <v>0</v>
      </c>
      <c r="N81" s="25">
        <v>0</v>
      </c>
      <c r="O81">
        <v>0</v>
      </c>
      <c r="P81" s="25">
        <v>0</v>
      </c>
      <c r="Q81" s="25">
        <v>9.3100000000000002E-2</v>
      </c>
      <c r="R81" s="26">
        <v>63429.7</v>
      </c>
      <c r="S81" s="26">
        <v>10409200000</v>
      </c>
      <c r="T81">
        <v>0</v>
      </c>
      <c r="U81" s="25">
        <v>4.7E-2</v>
      </c>
    </row>
    <row r="82" spans="1:21" x14ac:dyDescent="0.25">
      <c r="A82" t="s">
        <v>348</v>
      </c>
      <c r="B82">
        <v>14.43</v>
      </c>
      <c r="C82">
        <v>6.09</v>
      </c>
      <c r="D82">
        <v>0.56999999999999995</v>
      </c>
      <c r="E82">
        <v>0</v>
      </c>
      <c r="F82" s="25">
        <v>0.10340000000000001</v>
      </c>
      <c r="G82">
        <v>0</v>
      </c>
      <c r="H82">
        <v>0</v>
      </c>
      <c r="I82">
        <v>0</v>
      </c>
      <c r="J82">
        <v>0</v>
      </c>
      <c r="K82">
        <v>0</v>
      </c>
      <c r="L82">
        <v>0</v>
      </c>
      <c r="M82" s="25">
        <v>0</v>
      </c>
      <c r="N82" s="25">
        <v>0</v>
      </c>
      <c r="O82">
        <v>0</v>
      </c>
      <c r="P82" s="25">
        <v>0</v>
      </c>
      <c r="Q82" s="25">
        <v>9.3100000000000002E-2</v>
      </c>
      <c r="R82" s="26">
        <v>3910.19</v>
      </c>
      <c r="S82" s="26">
        <v>10409200000</v>
      </c>
      <c r="T82">
        <v>0</v>
      </c>
      <c r="U82" s="25">
        <v>4.7E-2</v>
      </c>
    </row>
    <row r="83" spans="1:21" x14ac:dyDescent="0.25">
      <c r="A83" t="s">
        <v>37</v>
      </c>
      <c r="B83">
        <v>11.44</v>
      </c>
      <c r="C83">
        <v>4.83</v>
      </c>
      <c r="D83">
        <v>0.45</v>
      </c>
      <c r="E83">
        <v>0</v>
      </c>
      <c r="F83" s="25">
        <v>0.10639999999999999</v>
      </c>
      <c r="G83">
        <v>0</v>
      </c>
      <c r="H83">
        <v>0</v>
      </c>
      <c r="I83">
        <v>0</v>
      </c>
      <c r="J83">
        <v>0</v>
      </c>
      <c r="K83">
        <v>0</v>
      </c>
      <c r="L83">
        <v>0</v>
      </c>
      <c r="M83" s="25">
        <v>0</v>
      </c>
      <c r="N83" s="25">
        <v>0</v>
      </c>
      <c r="O83">
        <v>0</v>
      </c>
      <c r="P83" s="25">
        <v>0</v>
      </c>
      <c r="Q83" s="25">
        <v>9.3100000000000002E-2</v>
      </c>
      <c r="R83" s="26">
        <v>15773200</v>
      </c>
      <c r="S83" s="26">
        <v>10409200000</v>
      </c>
      <c r="T83">
        <v>0</v>
      </c>
      <c r="U83" s="25">
        <v>4.7E-2</v>
      </c>
    </row>
    <row r="84" spans="1:21" x14ac:dyDescent="0.25">
      <c r="A84" t="s">
        <v>349</v>
      </c>
      <c r="B84">
        <v>2.86</v>
      </c>
      <c r="C84">
        <v>20.79</v>
      </c>
      <c r="D84">
        <v>0.81</v>
      </c>
      <c r="E84">
        <v>0.84399999999999997</v>
      </c>
      <c r="F84" s="25">
        <v>1.44E-2</v>
      </c>
      <c r="G84">
        <v>0.30599999999999999</v>
      </c>
      <c r="H84">
        <v>-9.2100000000000009</v>
      </c>
      <c r="I84">
        <v>6.55</v>
      </c>
      <c r="J84">
        <v>-0.69</v>
      </c>
      <c r="K84">
        <v>14.02</v>
      </c>
      <c r="L84" s="26">
        <v>4.2699999999999996</v>
      </c>
      <c r="M84" s="25">
        <v>0.1288</v>
      </c>
      <c r="N84" s="25">
        <v>4.0599999999999997E-2</v>
      </c>
      <c r="O84">
        <v>0.84</v>
      </c>
      <c r="P84" s="25">
        <v>5.6599999999999998E-2</v>
      </c>
      <c r="Q84" s="25">
        <v>3.9199999999999999E-2</v>
      </c>
      <c r="R84" s="26">
        <v>625055</v>
      </c>
      <c r="S84" s="26">
        <v>1537560000</v>
      </c>
      <c r="T84">
        <v>1.23</v>
      </c>
      <c r="U84" s="25">
        <v>0</v>
      </c>
    </row>
    <row r="85" spans="1:21" x14ac:dyDescent="0.25">
      <c r="A85" t="s">
        <v>350</v>
      </c>
      <c r="B85">
        <v>7.54</v>
      </c>
      <c r="C85">
        <v>18.73</v>
      </c>
      <c r="D85">
        <v>0.99</v>
      </c>
      <c r="E85">
        <v>0</v>
      </c>
      <c r="F85" s="25">
        <v>0.49909999999999999</v>
      </c>
      <c r="G85">
        <v>0</v>
      </c>
      <c r="H85">
        <v>0</v>
      </c>
      <c r="I85">
        <v>0</v>
      </c>
      <c r="J85">
        <v>0</v>
      </c>
      <c r="K85">
        <v>0</v>
      </c>
      <c r="L85">
        <v>0</v>
      </c>
      <c r="M85" s="25">
        <v>0</v>
      </c>
      <c r="N85" s="25">
        <v>0</v>
      </c>
      <c r="O85">
        <v>0</v>
      </c>
      <c r="P85" s="25">
        <v>0</v>
      </c>
      <c r="Q85" s="25">
        <v>5.3100000000000001E-2</v>
      </c>
      <c r="R85" s="26">
        <v>42938.8</v>
      </c>
      <c r="S85" s="26">
        <v>3687330000</v>
      </c>
      <c r="T85">
        <v>0</v>
      </c>
      <c r="U85" s="25">
        <v>0.1065</v>
      </c>
    </row>
    <row r="86" spans="1:21" x14ac:dyDescent="0.25">
      <c r="A86" t="s">
        <v>351</v>
      </c>
      <c r="B86">
        <v>8</v>
      </c>
      <c r="C86">
        <v>19.87</v>
      </c>
      <c r="D86">
        <v>1.05</v>
      </c>
      <c r="E86">
        <v>0</v>
      </c>
      <c r="F86" s="25">
        <v>0.51749999999999996</v>
      </c>
      <c r="G86">
        <v>0</v>
      </c>
      <c r="H86">
        <v>0</v>
      </c>
      <c r="I86">
        <v>0</v>
      </c>
      <c r="J86">
        <v>0</v>
      </c>
      <c r="K86">
        <v>0</v>
      </c>
      <c r="L86">
        <v>0</v>
      </c>
      <c r="M86" s="25">
        <v>0</v>
      </c>
      <c r="N86" s="25">
        <v>0</v>
      </c>
      <c r="O86">
        <v>0</v>
      </c>
      <c r="P86" s="25">
        <v>0</v>
      </c>
      <c r="Q86" s="25">
        <v>5.3100000000000001E-2</v>
      </c>
      <c r="R86" s="26">
        <v>38185.800000000003</v>
      </c>
      <c r="S86" s="26">
        <v>3687330000</v>
      </c>
      <c r="T86">
        <v>0</v>
      </c>
      <c r="U86" s="25">
        <v>0.1065</v>
      </c>
    </row>
    <row r="87" spans="1:21" x14ac:dyDescent="0.25">
      <c r="A87" t="s">
        <v>27</v>
      </c>
      <c r="B87">
        <v>9.7200000000000006</v>
      </c>
      <c r="C87">
        <v>5.49</v>
      </c>
      <c r="D87">
        <v>1.39</v>
      </c>
      <c r="E87">
        <v>0.96499999999999997</v>
      </c>
      <c r="F87" s="25">
        <v>8.6499999999999994E-2</v>
      </c>
      <c r="G87">
        <v>1.0820000000000001</v>
      </c>
      <c r="H87">
        <v>3.23</v>
      </c>
      <c r="I87">
        <v>4.72</v>
      </c>
      <c r="J87">
        <v>3.91</v>
      </c>
      <c r="K87">
        <v>4.2</v>
      </c>
      <c r="L87">
        <v>3.62</v>
      </c>
      <c r="M87" s="25">
        <v>0.20469999999999999</v>
      </c>
      <c r="N87" s="25">
        <v>0.1759</v>
      </c>
      <c r="O87">
        <v>3.09</v>
      </c>
      <c r="P87" s="25">
        <v>0.27610000000000001</v>
      </c>
      <c r="Q87" s="25">
        <v>0.2525</v>
      </c>
      <c r="R87" s="26">
        <v>381517</v>
      </c>
      <c r="S87" s="26">
        <v>296523000</v>
      </c>
      <c r="T87">
        <v>0.01</v>
      </c>
      <c r="U87" s="25">
        <v>0.30299999999999999</v>
      </c>
    </row>
    <row r="88" spans="1:21" x14ac:dyDescent="0.25">
      <c r="A88" t="s">
        <v>251</v>
      </c>
      <c r="B88">
        <v>5.0599999999999996</v>
      </c>
      <c r="C88">
        <v>8.16</v>
      </c>
      <c r="D88">
        <v>0.51</v>
      </c>
      <c r="E88">
        <v>0.14399999999999999</v>
      </c>
      <c r="F88" s="25">
        <v>4.3499999999999997E-2</v>
      </c>
      <c r="G88">
        <v>0.159</v>
      </c>
      <c r="H88">
        <v>0.73</v>
      </c>
      <c r="I88">
        <v>3.02</v>
      </c>
      <c r="J88">
        <v>-1.23</v>
      </c>
      <c r="K88">
        <v>8.1</v>
      </c>
      <c r="L88">
        <v>5.57</v>
      </c>
      <c r="M88" s="25">
        <v>4.7899999999999998E-2</v>
      </c>
      <c r="N88" s="25">
        <v>1.77E-2</v>
      </c>
      <c r="O88">
        <v>1.64</v>
      </c>
      <c r="P88" s="25">
        <v>8.0500000000000002E-2</v>
      </c>
      <c r="Q88" s="25">
        <v>6.2799999999999995E-2</v>
      </c>
      <c r="R88" s="26">
        <v>7256750</v>
      </c>
      <c r="S88" s="26">
        <v>3457320000</v>
      </c>
      <c r="T88">
        <v>1.59</v>
      </c>
      <c r="U88" s="25">
        <v>0.12909999999999999</v>
      </c>
    </row>
    <row r="89" spans="1:21" x14ac:dyDescent="0.25">
      <c r="A89" t="s">
        <v>226</v>
      </c>
      <c r="B89">
        <v>7.06</v>
      </c>
      <c r="C89">
        <v>-44.53</v>
      </c>
      <c r="D89">
        <v>2.2599999999999998</v>
      </c>
      <c r="E89">
        <v>2.077</v>
      </c>
      <c r="F89" s="25">
        <v>0.2762</v>
      </c>
      <c r="G89">
        <v>1.6339999999999999</v>
      </c>
      <c r="H89">
        <v>3.67</v>
      </c>
      <c r="I89">
        <v>-47.12</v>
      </c>
      <c r="J89">
        <v>4.41</v>
      </c>
      <c r="K89">
        <v>-33.46</v>
      </c>
      <c r="L89">
        <v>-139.31</v>
      </c>
      <c r="M89" s="25">
        <v>-4.41E-2</v>
      </c>
      <c r="N89" s="25">
        <v>-5.33E-2</v>
      </c>
      <c r="O89">
        <v>3.35</v>
      </c>
      <c r="P89" s="25">
        <v>-6.8599999999999994E-2</v>
      </c>
      <c r="Q89" s="25">
        <v>-5.0700000000000002E-2</v>
      </c>
      <c r="R89" s="26">
        <v>49739300</v>
      </c>
      <c r="S89" s="26">
        <v>352593000</v>
      </c>
      <c r="T89">
        <v>0</v>
      </c>
      <c r="U89" s="25">
        <v>0.21690000000000001</v>
      </c>
    </row>
    <row r="90" spans="1:21" x14ac:dyDescent="0.25">
      <c r="A90" t="s">
        <v>137</v>
      </c>
      <c r="B90">
        <v>4.3099999999999996</v>
      </c>
      <c r="C90">
        <v>15.53</v>
      </c>
      <c r="D90">
        <v>0.66</v>
      </c>
      <c r="E90">
        <v>0.318</v>
      </c>
      <c r="F90" s="25">
        <v>0</v>
      </c>
      <c r="G90">
        <v>0.21</v>
      </c>
      <c r="H90">
        <v>1.54</v>
      </c>
      <c r="I90">
        <v>3.87</v>
      </c>
      <c r="J90">
        <v>-0.6</v>
      </c>
      <c r="K90">
        <v>8.26</v>
      </c>
      <c r="L90">
        <v>4.28</v>
      </c>
      <c r="M90" s="25">
        <v>8.2299999999999998E-2</v>
      </c>
      <c r="N90" s="25">
        <v>3.3000000000000002E-2</v>
      </c>
      <c r="O90">
        <v>1.77</v>
      </c>
      <c r="P90" s="25">
        <v>6.4600000000000005E-2</v>
      </c>
      <c r="Q90" s="25">
        <v>4.2200000000000001E-2</v>
      </c>
      <c r="R90" s="26">
        <v>24646300</v>
      </c>
      <c r="S90" s="26">
        <v>4280660000</v>
      </c>
      <c r="T90">
        <v>0.94</v>
      </c>
      <c r="U90" s="25">
        <v>-2.0299999999999999E-2</v>
      </c>
    </row>
    <row r="91" spans="1:21" x14ac:dyDescent="0.25">
      <c r="A91" t="s">
        <v>352</v>
      </c>
      <c r="B91">
        <v>8.49</v>
      </c>
      <c r="C91">
        <v>4.67</v>
      </c>
      <c r="D91">
        <v>0.38</v>
      </c>
      <c r="E91">
        <v>0.35899999999999999</v>
      </c>
      <c r="F91" s="25">
        <v>4.9299999999999997E-2</v>
      </c>
      <c r="G91">
        <v>0.16200000000000001</v>
      </c>
      <c r="H91">
        <v>-1.23</v>
      </c>
      <c r="I91">
        <v>2.78</v>
      </c>
      <c r="J91">
        <v>-0.45</v>
      </c>
      <c r="K91">
        <v>6.54</v>
      </c>
      <c r="L91">
        <v>3.76</v>
      </c>
      <c r="M91" s="25">
        <v>0.12920000000000001</v>
      </c>
      <c r="N91" s="25">
        <v>7.6899999999999996E-2</v>
      </c>
      <c r="O91">
        <v>0.62</v>
      </c>
      <c r="P91" s="25">
        <v>6.3899999999999998E-2</v>
      </c>
      <c r="Q91" s="25">
        <v>8.14E-2</v>
      </c>
      <c r="R91" s="26">
        <v>413.91</v>
      </c>
      <c r="S91" s="26">
        <v>8493750000</v>
      </c>
      <c r="T91">
        <v>0.55000000000000004</v>
      </c>
      <c r="U91" s="25">
        <v>5.4899999999999997E-2</v>
      </c>
    </row>
    <row r="92" spans="1:21" x14ac:dyDescent="0.25">
      <c r="A92" t="s">
        <v>195</v>
      </c>
      <c r="B92">
        <v>16.649999999999999</v>
      </c>
      <c r="C92">
        <v>13.31</v>
      </c>
      <c r="D92">
        <v>1.57</v>
      </c>
      <c r="E92">
        <v>0.65800000000000003</v>
      </c>
      <c r="F92" s="25">
        <v>2.3E-2</v>
      </c>
      <c r="G92">
        <v>0.55300000000000005</v>
      </c>
      <c r="H92">
        <v>5.0999999999999996</v>
      </c>
      <c r="I92">
        <v>5.19</v>
      </c>
      <c r="J92">
        <v>-3.1</v>
      </c>
      <c r="K92">
        <v>5.1100000000000003</v>
      </c>
      <c r="L92">
        <v>4.07</v>
      </c>
      <c r="M92" s="25">
        <v>0.1268</v>
      </c>
      <c r="N92" s="25">
        <v>4.9500000000000002E-2</v>
      </c>
      <c r="O92">
        <v>1.3</v>
      </c>
      <c r="P92" s="25">
        <v>0.16889999999999999</v>
      </c>
      <c r="Q92" s="25">
        <v>0.1182</v>
      </c>
      <c r="R92" s="26">
        <v>47994400</v>
      </c>
      <c r="S92" s="26">
        <v>3262550000</v>
      </c>
      <c r="T92">
        <v>0.44</v>
      </c>
      <c r="U92" s="25">
        <v>0.17480000000000001</v>
      </c>
    </row>
    <row r="93" spans="1:21" x14ac:dyDescent="0.25">
      <c r="A93" t="s">
        <v>353</v>
      </c>
      <c r="B93">
        <v>18.93</v>
      </c>
      <c r="C93">
        <v>7.57</v>
      </c>
      <c r="D93">
        <v>1.22</v>
      </c>
      <c r="E93">
        <v>3.4929999999999999</v>
      </c>
      <c r="F93" s="25">
        <v>0.1043</v>
      </c>
      <c r="G93">
        <v>0.89200000000000002</v>
      </c>
      <c r="H93">
        <v>1.75</v>
      </c>
      <c r="I93">
        <v>10.38</v>
      </c>
      <c r="J93">
        <v>1.89</v>
      </c>
      <c r="K93">
        <v>5.19</v>
      </c>
      <c r="L93">
        <v>4.88</v>
      </c>
      <c r="M93" s="25">
        <v>0.3367</v>
      </c>
      <c r="N93" s="25">
        <v>0.60240000000000005</v>
      </c>
      <c r="O93">
        <v>9.39</v>
      </c>
      <c r="P93" s="25">
        <v>0.15870000000000001</v>
      </c>
      <c r="Q93" s="25">
        <v>0.1618</v>
      </c>
      <c r="R93" s="26">
        <v>145906</v>
      </c>
      <c r="S93" s="26">
        <v>1115020000</v>
      </c>
      <c r="T93">
        <v>0</v>
      </c>
      <c r="U93" s="25">
        <v>3.6600000000000001E-2</v>
      </c>
    </row>
    <row r="94" spans="1:21" x14ac:dyDescent="0.25">
      <c r="A94" t="s">
        <v>354</v>
      </c>
      <c r="B94">
        <v>19</v>
      </c>
      <c r="C94">
        <v>7.59</v>
      </c>
      <c r="D94">
        <v>1.23</v>
      </c>
      <c r="E94">
        <v>3.5059999999999998</v>
      </c>
      <c r="F94" s="25">
        <v>0.10390000000000001</v>
      </c>
      <c r="G94">
        <v>0.89500000000000002</v>
      </c>
      <c r="H94">
        <v>1.75</v>
      </c>
      <c r="I94">
        <v>10.41</v>
      </c>
      <c r="J94">
        <v>1.89</v>
      </c>
      <c r="K94">
        <v>5.23</v>
      </c>
      <c r="L94">
        <v>4.91</v>
      </c>
      <c r="M94" s="25">
        <v>0.3367</v>
      </c>
      <c r="N94" s="25">
        <v>0.60240000000000005</v>
      </c>
      <c r="O94">
        <v>9.39</v>
      </c>
      <c r="P94" s="25">
        <v>0.15870000000000001</v>
      </c>
      <c r="Q94" s="25">
        <v>0.1618</v>
      </c>
      <c r="R94" s="26">
        <v>61793.4</v>
      </c>
      <c r="S94" s="26">
        <v>1115020000</v>
      </c>
      <c r="T94">
        <v>0</v>
      </c>
      <c r="U94" s="25">
        <v>3.6600000000000001E-2</v>
      </c>
    </row>
    <row r="95" spans="1:21" x14ac:dyDescent="0.25">
      <c r="A95" t="s">
        <v>20</v>
      </c>
      <c r="B95">
        <v>21.1</v>
      </c>
      <c r="C95">
        <v>8.43</v>
      </c>
      <c r="D95">
        <v>1.36</v>
      </c>
      <c r="E95">
        <v>3.8929999999999998</v>
      </c>
      <c r="F95" s="25">
        <v>0.10290000000000001</v>
      </c>
      <c r="G95">
        <v>0.99399999999999999</v>
      </c>
      <c r="H95">
        <v>1.95</v>
      </c>
      <c r="I95">
        <v>11.56</v>
      </c>
      <c r="J95">
        <v>2.1</v>
      </c>
      <c r="K95">
        <v>6.38</v>
      </c>
      <c r="L95">
        <v>5.99</v>
      </c>
      <c r="M95" s="25">
        <v>0.3367</v>
      </c>
      <c r="N95" s="25">
        <v>0.60240000000000005</v>
      </c>
      <c r="O95">
        <v>9.39</v>
      </c>
      <c r="P95" s="25">
        <v>0.15870000000000001</v>
      </c>
      <c r="Q95" s="25">
        <v>0.1618</v>
      </c>
      <c r="R95" s="26">
        <v>175178</v>
      </c>
      <c r="S95" s="26">
        <v>1115020000</v>
      </c>
      <c r="T95">
        <v>0</v>
      </c>
      <c r="U95" s="25">
        <v>3.6600000000000001E-2</v>
      </c>
    </row>
    <row r="96" spans="1:21" x14ac:dyDescent="0.25">
      <c r="A96" t="s">
        <v>355</v>
      </c>
      <c r="B96">
        <v>29.4</v>
      </c>
      <c r="C96">
        <v>2.95</v>
      </c>
      <c r="D96">
        <v>0.94</v>
      </c>
      <c r="E96">
        <v>0.28399999999999997</v>
      </c>
      <c r="F96" s="25">
        <v>0</v>
      </c>
      <c r="G96">
        <v>0.30299999999999999</v>
      </c>
      <c r="H96">
        <v>4.43</v>
      </c>
      <c r="I96">
        <v>1.62</v>
      </c>
      <c r="J96">
        <v>-1.22</v>
      </c>
      <c r="K96">
        <v>3.75</v>
      </c>
      <c r="L96">
        <v>3.3</v>
      </c>
      <c r="M96" s="25">
        <v>0.17499999999999999</v>
      </c>
      <c r="N96" s="25">
        <v>9.64E-2</v>
      </c>
      <c r="O96">
        <v>1.19</v>
      </c>
      <c r="P96" s="25">
        <v>0.2024</v>
      </c>
      <c r="Q96" s="25">
        <v>0.31819999999999998</v>
      </c>
      <c r="R96" s="26">
        <v>2303.86</v>
      </c>
      <c r="S96" s="26">
        <v>313676000</v>
      </c>
      <c r="T96">
        <v>1.25</v>
      </c>
      <c r="U96" s="25">
        <v>9.4399999999999998E-2</v>
      </c>
    </row>
    <row r="97" spans="1:21" x14ac:dyDescent="0.25">
      <c r="A97" t="s">
        <v>356</v>
      </c>
      <c r="B97">
        <v>18</v>
      </c>
      <c r="C97">
        <v>1.8</v>
      </c>
      <c r="D97">
        <v>0.56999999999999995</v>
      </c>
      <c r="E97">
        <v>0.17399999999999999</v>
      </c>
      <c r="F97" s="25">
        <v>0</v>
      </c>
      <c r="G97">
        <v>0.185</v>
      </c>
      <c r="H97">
        <v>2.72</v>
      </c>
      <c r="I97">
        <v>0.99</v>
      </c>
      <c r="J97">
        <v>-0.75</v>
      </c>
      <c r="K97">
        <v>3.12</v>
      </c>
      <c r="L97">
        <v>2.75</v>
      </c>
      <c r="M97" s="25">
        <v>0.17499999999999999</v>
      </c>
      <c r="N97" s="25">
        <v>9.64E-2</v>
      </c>
      <c r="O97">
        <v>1.19</v>
      </c>
      <c r="P97" s="25">
        <v>0.2024</v>
      </c>
      <c r="Q97" s="25">
        <v>0.31819999999999998</v>
      </c>
      <c r="R97" s="26">
        <v>27353.7</v>
      </c>
      <c r="S97" s="26">
        <v>313676000</v>
      </c>
      <c r="T97">
        <v>1.25</v>
      </c>
      <c r="U97" s="25">
        <v>9.4399999999999998E-2</v>
      </c>
    </row>
    <row r="98" spans="1:21" x14ac:dyDescent="0.25">
      <c r="A98" t="s">
        <v>357</v>
      </c>
      <c r="B98">
        <v>37.81</v>
      </c>
      <c r="C98">
        <v>5.64</v>
      </c>
      <c r="D98">
        <v>1.26</v>
      </c>
      <c r="E98">
        <v>0.59299999999999997</v>
      </c>
      <c r="F98" s="25">
        <v>4.4299999999999999E-2</v>
      </c>
      <c r="G98">
        <v>0.317</v>
      </c>
      <c r="H98">
        <v>-8.2899999999999991</v>
      </c>
      <c r="I98">
        <v>2.34</v>
      </c>
      <c r="J98">
        <v>-0.56000000000000005</v>
      </c>
      <c r="K98">
        <v>5.82</v>
      </c>
      <c r="L98">
        <v>4.71</v>
      </c>
      <c r="M98" s="25">
        <v>0.25280000000000002</v>
      </c>
      <c r="N98" s="25">
        <v>0.1051</v>
      </c>
      <c r="O98">
        <v>0.83</v>
      </c>
      <c r="P98" s="25">
        <v>0.14499999999999999</v>
      </c>
      <c r="Q98" s="25">
        <v>0.2235</v>
      </c>
      <c r="R98" s="26">
        <v>7018.38</v>
      </c>
      <c r="S98" s="26">
        <v>7858000000</v>
      </c>
      <c r="T98">
        <v>1.97</v>
      </c>
      <c r="U98" s="25">
        <v>7.2800000000000004E-2</v>
      </c>
    </row>
    <row r="99" spans="1:21" x14ac:dyDescent="0.25">
      <c r="A99" t="s">
        <v>358</v>
      </c>
      <c r="B99">
        <v>45.99</v>
      </c>
      <c r="C99">
        <v>6.86</v>
      </c>
      <c r="D99">
        <v>1.53</v>
      </c>
      <c r="E99">
        <v>0.72099999999999997</v>
      </c>
      <c r="F99" s="25">
        <v>3.6400000000000002E-2</v>
      </c>
      <c r="G99">
        <v>0.38600000000000001</v>
      </c>
      <c r="H99">
        <v>-10.08</v>
      </c>
      <c r="I99">
        <v>2.85</v>
      </c>
      <c r="J99">
        <v>-0.68</v>
      </c>
      <c r="K99">
        <v>6.32</v>
      </c>
      <c r="L99">
        <v>5.12</v>
      </c>
      <c r="M99" s="25">
        <v>0.25280000000000002</v>
      </c>
      <c r="N99" s="25">
        <v>0.1051</v>
      </c>
      <c r="O99">
        <v>0.83</v>
      </c>
      <c r="P99" s="25">
        <v>0.14499999999999999</v>
      </c>
      <c r="Q99" s="25">
        <v>0.2235</v>
      </c>
      <c r="R99" s="26">
        <v>282.83</v>
      </c>
      <c r="S99" s="26">
        <v>7858000000</v>
      </c>
      <c r="T99">
        <v>1.97</v>
      </c>
      <c r="U99" s="25">
        <v>7.2800000000000004E-2</v>
      </c>
    </row>
    <row r="100" spans="1:21" x14ac:dyDescent="0.25">
      <c r="A100" t="s">
        <v>359</v>
      </c>
      <c r="B100">
        <v>8.9</v>
      </c>
      <c r="C100">
        <v>-1.28</v>
      </c>
      <c r="D100">
        <v>-0.17</v>
      </c>
      <c r="E100">
        <v>0.108</v>
      </c>
      <c r="F100" s="25">
        <v>0</v>
      </c>
      <c r="G100">
        <v>7.3999999999999996E-2</v>
      </c>
      <c r="H100">
        <v>2</v>
      </c>
      <c r="I100">
        <v>1.02</v>
      </c>
      <c r="J100">
        <v>-7.0000000000000007E-2</v>
      </c>
      <c r="K100">
        <v>9.3800000000000008</v>
      </c>
      <c r="L100">
        <v>7.3</v>
      </c>
      <c r="M100" s="25">
        <v>0.1061</v>
      </c>
      <c r="N100" s="25">
        <v>-8.4500000000000006E-2</v>
      </c>
      <c r="O100">
        <v>1.1299999999999999</v>
      </c>
      <c r="P100" s="25">
        <v>8.6699999999999999E-2</v>
      </c>
      <c r="Q100" s="25">
        <v>0.13139999999999999</v>
      </c>
      <c r="R100" s="26">
        <v>554.92999999999995</v>
      </c>
      <c r="S100" s="26">
        <v>-3617840000</v>
      </c>
      <c r="T100">
        <v>-1.58</v>
      </c>
      <c r="U100" s="25">
        <v>8.8400000000000006E-2</v>
      </c>
    </row>
    <row r="101" spans="1:21" x14ac:dyDescent="0.25">
      <c r="A101" t="s">
        <v>360</v>
      </c>
      <c r="B101">
        <v>138.94999999999999</v>
      </c>
      <c r="C101">
        <v>10.48</v>
      </c>
      <c r="D101">
        <v>12.97</v>
      </c>
      <c r="E101">
        <v>1.236</v>
      </c>
      <c r="F101" s="25">
        <v>7.1499999999999994E-2</v>
      </c>
      <c r="G101">
        <v>1.3129999999999999</v>
      </c>
      <c r="H101">
        <v>10.25</v>
      </c>
      <c r="I101">
        <v>6.34</v>
      </c>
      <c r="J101">
        <v>-2.06</v>
      </c>
      <c r="K101">
        <v>8.8699999999999992</v>
      </c>
      <c r="L101">
        <v>7.21</v>
      </c>
      <c r="M101" s="25">
        <v>0.1951</v>
      </c>
      <c r="N101" s="25">
        <v>0.1179</v>
      </c>
      <c r="O101">
        <v>1.95</v>
      </c>
      <c r="P101" s="25">
        <v>0.2429</v>
      </c>
      <c r="Q101" s="25">
        <v>1.2369000000000001</v>
      </c>
      <c r="R101" s="26">
        <v>3021.86</v>
      </c>
      <c r="S101" s="26">
        <v>1420180000</v>
      </c>
      <c r="T101">
        <v>5.98</v>
      </c>
      <c r="U101" s="25">
        <v>0.1389</v>
      </c>
    </row>
    <row r="102" spans="1:21" x14ac:dyDescent="0.25">
      <c r="A102" t="s">
        <v>361</v>
      </c>
      <c r="B102">
        <v>126.85</v>
      </c>
      <c r="C102">
        <v>9.57</v>
      </c>
      <c r="D102">
        <v>11.84</v>
      </c>
      <c r="E102">
        <v>1.129</v>
      </c>
      <c r="F102" s="25">
        <v>8.6099999999999996E-2</v>
      </c>
      <c r="G102">
        <v>1.198</v>
      </c>
      <c r="H102">
        <v>9.35</v>
      </c>
      <c r="I102">
        <v>5.79</v>
      </c>
      <c r="J102">
        <v>-1.89</v>
      </c>
      <c r="K102">
        <v>8.32</v>
      </c>
      <c r="L102">
        <v>6.76</v>
      </c>
      <c r="M102" s="25">
        <v>0.1951</v>
      </c>
      <c r="N102" s="25">
        <v>0.1179</v>
      </c>
      <c r="O102">
        <v>1.95</v>
      </c>
      <c r="P102" s="25">
        <v>0.2429</v>
      </c>
      <c r="Q102" s="25">
        <v>1.2369000000000001</v>
      </c>
      <c r="R102" s="26">
        <v>102224</v>
      </c>
      <c r="S102" s="26">
        <v>1420180000</v>
      </c>
      <c r="T102">
        <v>5.98</v>
      </c>
      <c r="U102" s="25">
        <v>0.1389</v>
      </c>
    </row>
    <row r="103" spans="1:21" x14ac:dyDescent="0.25">
      <c r="A103" t="s">
        <v>362</v>
      </c>
      <c r="B103">
        <v>29.45</v>
      </c>
      <c r="C103">
        <v>5.85</v>
      </c>
      <c r="D103">
        <v>0.64</v>
      </c>
      <c r="E103">
        <v>0.82399999999999995</v>
      </c>
      <c r="F103" s="25">
        <v>0.15409999999999999</v>
      </c>
      <c r="G103">
        <v>0.45600000000000002</v>
      </c>
      <c r="H103">
        <v>1.68</v>
      </c>
      <c r="I103">
        <v>7.02</v>
      </c>
      <c r="J103">
        <v>2.82</v>
      </c>
      <c r="K103">
        <v>4.6399999999999997</v>
      </c>
      <c r="L103">
        <v>3.51</v>
      </c>
      <c r="M103" s="25">
        <v>0.1174</v>
      </c>
      <c r="N103" s="25">
        <v>0.14069999999999999</v>
      </c>
      <c r="O103">
        <v>2.52</v>
      </c>
      <c r="P103" s="25">
        <v>8.6199999999999999E-2</v>
      </c>
      <c r="Q103" s="25">
        <v>0.10929999999999999</v>
      </c>
      <c r="R103" s="26">
        <v>80768.2</v>
      </c>
      <c r="S103" s="26">
        <v>947333000</v>
      </c>
      <c r="T103">
        <v>0</v>
      </c>
      <c r="U103" s="25">
        <v>0.10879999999999999</v>
      </c>
    </row>
    <row r="104" spans="1:21" x14ac:dyDescent="0.25">
      <c r="A104" t="s">
        <v>4</v>
      </c>
      <c r="B104">
        <v>29.05</v>
      </c>
      <c r="C104">
        <v>5.77</v>
      </c>
      <c r="D104">
        <v>0.63</v>
      </c>
      <c r="E104">
        <v>0.81299999999999994</v>
      </c>
      <c r="F104" s="25">
        <v>0.15620000000000001</v>
      </c>
      <c r="G104">
        <v>0.45</v>
      </c>
      <c r="H104">
        <v>1.66</v>
      </c>
      <c r="I104">
        <v>6.92</v>
      </c>
      <c r="J104">
        <v>2.78</v>
      </c>
      <c r="K104">
        <v>4.54</v>
      </c>
      <c r="L104" s="26">
        <v>3.44</v>
      </c>
      <c r="M104" s="25">
        <v>0.1174</v>
      </c>
      <c r="N104" s="25">
        <v>0.14069999999999999</v>
      </c>
      <c r="O104">
        <v>2.52</v>
      </c>
      <c r="P104" s="25">
        <v>8.6199999999999999E-2</v>
      </c>
      <c r="Q104" s="25">
        <v>0.10929999999999999</v>
      </c>
      <c r="R104" s="26">
        <v>342486</v>
      </c>
      <c r="S104" s="26">
        <v>947333000</v>
      </c>
      <c r="T104">
        <v>0</v>
      </c>
      <c r="U104" s="25">
        <v>0.10879999999999999</v>
      </c>
    </row>
    <row r="105" spans="1:21" x14ac:dyDescent="0.25">
      <c r="A105" t="s">
        <v>363</v>
      </c>
      <c r="B105">
        <v>89</v>
      </c>
      <c r="C105">
        <v>4.66</v>
      </c>
      <c r="D105">
        <v>0.89</v>
      </c>
      <c r="E105">
        <v>0.311</v>
      </c>
      <c r="F105" s="25">
        <v>6.3500000000000001E-2</v>
      </c>
      <c r="G105">
        <v>0.25600000000000001</v>
      </c>
      <c r="H105">
        <v>3.67</v>
      </c>
      <c r="I105">
        <v>3.04</v>
      </c>
      <c r="J105">
        <v>-0.65</v>
      </c>
      <c r="K105">
        <v>6.12</v>
      </c>
      <c r="L105">
        <v>4.6500000000000004</v>
      </c>
      <c r="M105" s="25">
        <v>0.1022</v>
      </c>
      <c r="N105" s="25">
        <v>6.6699999999999995E-2</v>
      </c>
      <c r="O105">
        <v>1.28</v>
      </c>
      <c r="P105" s="25">
        <v>9.6699999999999994E-2</v>
      </c>
      <c r="Q105" s="25">
        <v>0.19059999999999999</v>
      </c>
      <c r="R105" s="26">
        <v>7060.29</v>
      </c>
      <c r="S105" s="26">
        <v>3863830000</v>
      </c>
      <c r="T105">
        <v>1.0900000000000001</v>
      </c>
      <c r="U105" s="25">
        <v>2.5100000000000001E-2</v>
      </c>
    </row>
    <row r="106" spans="1:21" x14ac:dyDescent="0.25">
      <c r="A106" t="s">
        <v>364</v>
      </c>
      <c r="B106">
        <v>98.97</v>
      </c>
      <c r="C106">
        <v>5.18</v>
      </c>
      <c r="D106">
        <v>0.99</v>
      </c>
      <c r="E106">
        <v>0.34599999999999997</v>
      </c>
      <c r="F106" s="25">
        <v>6.2799999999999995E-2</v>
      </c>
      <c r="G106">
        <v>0.28399999999999997</v>
      </c>
      <c r="H106">
        <v>4.08</v>
      </c>
      <c r="I106">
        <v>3.39</v>
      </c>
      <c r="J106">
        <v>-0.72</v>
      </c>
      <c r="K106">
        <v>6.46</v>
      </c>
      <c r="L106">
        <v>4.91</v>
      </c>
      <c r="M106" s="25">
        <v>0.1022</v>
      </c>
      <c r="N106" s="25">
        <v>6.6699999999999995E-2</v>
      </c>
      <c r="O106">
        <v>1.28</v>
      </c>
      <c r="P106" s="25">
        <v>9.6699999999999994E-2</v>
      </c>
      <c r="Q106" s="25">
        <v>0.19059999999999999</v>
      </c>
      <c r="R106" s="26">
        <v>422105</v>
      </c>
      <c r="S106" s="26">
        <v>3863830000</v>
      </c>
      <c r="T106">
        <v>1.0900000000000001</v>
      </c>
      <c r="U106" s="25">
        <v>2.5100000000000001E-2</v>
      </c>
    </row>
    <row r="107" spans="1:21" x14ac:dyDescent="0.25">
      <c r="A107" t="s">
        <v>365</v>
      </c>
      <c r="B107">
        <v>15.27</v>
      </c>
      <c r="C107">
        <v>6.24</v>
      </c>
      <c r="D107">
        <v>1.57</v>
      </c>
      <c r="E107">
        <v>1.0760000000000001</v>
      </c>
      <c r="F107" s="25">
        <v>8.3400000000000002E-2</v>
      </c>
      <c r="G107">
        <v>0.68400000000000005</v>
      </c>
      <c r="H107">
        <v>50.33</v>
      </c>
      <c r="I107">
        <v>6.26</v>
      </c>
      <c r="J107">
        <v>-2.13</v>
      </c>
      <c r="K107">
        <v>7.77</v>
      </c>
      <c r="L107">
        <v>6.47</v>
      </c>
      <c r="M107" s="25">
        <v>0.17180000000000001</v>
      </c>
      <c r="N107" s="25">
        <v>0.17249999999999999</v>
      </c>
      <c r="O107">
        <v>1.06</v>
      </c>
      <c r="P107" s="25">
        <v>0.1241</v>
      </c>
      <c r="Q107" s="25">
        <v>0.25090000000000001</v>
      </c>
      <c r="R107" s="26">
        <v>5326290</v>
      </c>
      <c r="S107" s="26">
        <v>27914500000</v>
      </c>
      <c r="T107">
        <v>0.55000000000000004</v>
      </c>
      <c r="U107" s="25">
        <v>9.9699999999999997E-2</v>
      </c>
    </row>
    <row r="108" spans="1:21" x14ac:dyDescent="0.25">
      <c r="A108" t="s">
        <v>22</v>
      </c>
      <c r="B108">
        <v>10.57</v>
      </c>
      <c r="C108">
        <v>4.32</v>
      </c>
      <c r="D108">
        <v>1.08</v>
      </c>
      <c r="E108">
        <v>0.745</v>
      </c>
      <c r="F108" s="25">
        <v>0.1205</v>
      </c>
      <c r="G108">
        <v>0.47299999999999998</v>
      </c>
      <c r="H108">
        <v>34.840000000000003</v>
      </c>
      <c r="I108">
        <v>4.34</v>
      </c>
      <c r="J108">
        <v>-1.47</v>
      </c>
      <c r="K108">
        <v>5.85</v>
      </c>
      <c r="L108">
        <v>4.8600000000000003</v>
      </c>
      <c r="M108" s="25">
        <v>0.17180000000000001</v>
      </c>
      <c r="N108" s="25">
        <v>0.17249999999999999</v>
      </c>
      <c r="O108">
        <v>1.06</v>
      </c>
      <c r="P108" s="25">
        <v>0.1241</v>
      </c>
      <c r="Q108" s="25">
        <v>0.25090000000000001</v>
      </c>
      <c r="R108" s="26">
        <v>139945000</v>
      </c>
      <c r="S108" s="26">
        <v>27914500000</v>
      </c>
      <c r="T108">
        <v>0.55000000000000004</v>
      </c>
      <c r="U108" s="25">
        <v>9.9699999999999997E-2</v>
      </c>
    </row>
    <row r="109" spans="1:21" x14ac:dyDescent="0.25">
      <c r="A109" t="s">
        <v>366</v>
      </c>
      <c r="B109">
        <v>4.87</v>
      </c>
      <c r="C109">
        <v>7.39</v>
      </c>
      <c r="D109">
        <v>2.61</v>
      </c>
      <c r="E109">
        <v>1.581</v>
      </c>
      <c r="F109" s="25">
        <v>0.17050000000000001</v>
      </c>
      <c r="G109">
        <v>0.75600000000000001</v>
      </c>
      <c r="H109">
        <v>2.89</v>
      </c>
      <c r="I109">
        <v>5.31</v>
      </c>
      <c r="J109">
        <v>-3.18</v>
      </c>
      <c r="K109">
        <v>4.42</v>
      </c>
      <c r="L109">
        <v>3.58</v>
      </c>
      <c r="M109" s="25">
        <v>0.29749999999999999</v>
      </c>
      <c r="N109" s="25">
        <v>0.21379999999999999</v>
      </c>
      <c r="O109">
        <v>2.2400000000000002</v>
      </c>
      <c r="P109" s="25">
        <v>0.26140000000000002</v>
      </c>
      <c r="Q109" s="25">
        <v>0.35299999999999998</v>
      </c>
      <c r="R109" s="26">
        <v>41854400</v>
      </c>
      <c r="S109" s="26">
        <v>10233800000</v>
      </c>
      <c r="T109">
        <v>0.96</v>
      </c>
      <c r="U109" s="25">
        <v>-4.8999999999999998E-3</v>
      </c>
    </row>
    <row r="110" spans="1:21" x14ac:dyDescent="0.25">
      <c r="A110" t="s">
        <v>367</v>
      </c>
      <c r="B110">
        <v>25.8</v>
      </c>
      <c r="C110">
        <v>5.4</v>
      </c>
      <c r="D110">
        <v>0.39</v>
      </c>
      <c r="E110">
        <v>0.23799999999999999</v>
      </c>
      <c r="F110" s="25">
        <v>5.2400000000000002E-2</v>
      </c>
      <c r="G110">
        <v>0.13400000000000001</v>
      </c>
      <c r="H110">
        <v>-0.57999999999999996</v>
      </c>
      <c r="I110">
        <v>1.65</v>
      </c>
      <c r="J110">
        <v>-0.3</v>
      </c>
      <c r="K110">
        <v>6.14</v>
      </c>
      <c r="L110">
        <v>3.95</v>
      </c>
      <c r="M110" s="25">
        <v>0.1439</v>
      </c>
      <c r="N110" s="25">
        <v>4.3999999999999997E-2</v>
      </c>
      <c r="O110">
        <v>0.48</v>
      </c>
      <c r="P110" s="25">
        <v>9.0300000000000005E-2</v>
      </c>
      <c r="Q110" s="25">
        <v>7.1900000000000006E-2</v>
      </c>
      <c r="R110" s="26">
        <v>3729.81</v>
      </c>
      <c r="S110" s="26">
        <v>5174440000</v>
      </c>
      <c r="T110">
        <v>1.1100000000000001</v>
      </c>
      <c r="U110" s="25">
        <v>6.7100000000000007E-2</v>
      </c>
    </row>
    <row r="111" spans="1:21" x14ac:dyDescent="0.25">
      <c r="A111" t="s">
        <v>194</v>
      </c>
      <c r="B111">
        <v>25.4</v>
      </c>
      <c r="C111">
        <v>5.32</v>
      </c>
      <c r="D111">
        <v>0.38</v>
      </c>
      <c r="E111">
        <v>0.23400000000000001</v>
      </c>
      <c r="F111" s="25">
        <v>5.3199999999999997E-2</v>
      </c>
      <c r="G111">
        <v>0.13200000000000001</v>
      </c>
      <c r="H111">
        <v>-0.56999999999999995</v>
      </c>
      <c r="I111">
        <v>1.63</v>
      </c>
      <c r="J111">
        <v>-0.3</v>
      </c>
      <c r="K111">
        <v>6.12</v>
      </c>
      <c r="L111">
        <v>3.93</v>
      </c>
      <c r="M111" s="25">
        <v>0.1439</v>
      </c>
      <c r="N111" s="25">
        <v>4.3999999999999997E-2</v>
      </c>
      <c r="O111">
        <v>0.48</v>
      </c>
      <c r="P111" s="25">
        <v>9.0300000000000005E-2</v>
      </c>
      <c r="Q111" s="25">
        <v>7.1900000000000006E-2</v>
      </c>
      <c r="R111" s="26">
        <v>226862</v>
      </c>
      <c r="S111" s="26">
        <v>5174440000</v>
      </c>
      <c r="T111">
        <v>1.1100000000000001</v>
      </c>
      <c r="U111" s="25">
        <v>6.7100000000000007E-2</v>
      </c>
    </row>
    <row r="112" spans="1:21" x14ac:dyDescent="0.25">
      <c r="A112" t="s">
        <v>218</v>
      </c>
      <c r="B112">
        <v>2.79</v>
      </c>
      <c r="C112">
        <v>5.32</v>
      </c>
      <c r="D112">
        <v>0.42</v>
      </c>
      <c r="E112">
        <v>0.80500000000000005</v>
      </c>
      <c r="F112" s="25">
        <v>2.3900000000000001E-2</v>
      </c>
      <c r="G112">
        <v>0.216</v>
      </c>
      <c r="H112">
        <v>4.0199999999999996</v>
      </c>
      <c r="I112">
        <v>2.52</v>
      </c>
      <c r="J112">
        <v>-0.89</v>
      </c>
      <c r="K112">
        <v>5.15</v>
      </c>
      <c r="L112">
        <v>3.86</v>
      </c>
      <c r="M112" s="25">
        <v>0.31909999999999999</v>
      </c>
      <c r="N112" s="25">
        <v>0.1676</v>
      </c>
      <c r="O112">
        <v>1.38</v>
      </c>
      <c r="P112" s="25">
        <v>9.5500000000000002E-2</v>
      </c>
      <c r="Q112" s="25">
        <v>7.9000000000000001E-2</v>
      </c>
      <c r="R112" s="26">
        <v>143584000</v>
      </c>
      <c r="S112" s="26">
        <v>12444500000</v>
      </c>
      <c r="T112">
        <v>0.55000000000000004</v>
      </c>
      <c r="U112" s="25">
        <v>8.7900000000000006E-2</v>
      </c>
    </row>
    <row r="113" spans="1:21" x14ac:dyDescent="0.25">
      <c r="A113" t="s">
        <v>103</v>
      </c>
      <c r="B113">
        <v>40.5</v>
      </c>
      <c r="C113">
        <v>8.75</v>
      </c>
      <c r="D113">
        <v>2.1</v>
      </c>
      <c r="E113">
        <v>1.0820000000000001</v>
      </c>
      <c r="F113" s="25">
        <v>6.9000000000000006E-2</v>
      </c>
      <c r="G113">
        <v>0.59299999999999997</v>
      </c>
      <c r="H113">
        <v>-187.38</v>
      </c>
      <c r="I113">
        <v>4.22</v>
      </c>
      <c r="J113">
        <v>-1.23</v>
      </c>
      <c r="K113">
        <v>6.41</v>
      </c>
      <c r="L113">
        <v>5.43</v>
      </c>
      <c r="M113" s="25">
        <v>0.25650000000000001</v>
      </c>
      <c r="N113" s="25">
        <v>0.13039999999999999</v>
      </c>
      <c r="O113">
        <v>0.99</v>
      </c>
      <c r="P113" s="25">
        <v>0.15609999999999999</v>
      </c>
      <c r="Q113" s="25">
        <v>0.2397</v>
      </c>
      <c r="R113" s="26">
        <v>54749800</v>
      </c>
      <c r="S113" s="26">
        <v>22249300000</v>
      </c>
      <c r="T113">
        <v>1.27</v>
      </c>
      <c r="U113" s="25">
        <v>6.1699999999999998E-2</v>
      </c>
    </row>
    <row r="114" spans="1:21" x14ac:dyDescent="0.25">
      <c r="A114" t="s">
        <v>93</v>
      </c>
      <c r="B114">
        <v>11.56</v>
      </c>
      <c r="C114">
        <v>11.71</v>
      </c>
      <c r="D114">
        <v>1.31</v>
      </c>
      <c r="E114">
        <v>1.4910000000000001</v>
      </c>
      <c r="F114" s="25">
        <v>6.4199999999999993E-2</v>
      </c>
      <c r="G114">
        <v>0.57199999999999995</v>
      </c>
      <c r="H114">
        <v>6.55</v>
      </c>
      <c r="I114">
        <v>8.3000000000000007</v>
      </c>
      <c r="J114">
        <v>-1.93</v>
      </c>
      <c r="K114">
        <v>11.37</v>
      </c>
      <c r="L114">
        <v>8.42</v>
      </c>
      <c r="M114" s="25">
        <v>0.17960000000000001</v>
      </c>
      <c r="N114" s="25">
        <v>0.12670000000000001</v>
      </c>
      <c r="O114">
        <v>1.48</v>
      </c>
      <c r="P114" s="25">
        <v>8.0100000000000005E-2</v>
      </c>
      <c r="Q114" s="25">
        <v>0.112</v>
      </c>
      <c r="R114" s="26">
        <v>73715100</v>
      </c>
      <c r="S114" s="26">
        <v>26272200000</v>
      </c>
      <c r="T114">
        <v>0.72</v>
      </c>
      <c r="U114" s="25">
        <v>2.06E-2</v>
      </c>
    </row>
    <row r="115" spans="1:21" x14ac:dyDescent="0.25">
      <c r="A115" t="s">
        <v>368</v>
      </c>
      <c r="B115">
        <v>12.85</v>
      </c>
      <c r="C115">
        <v>13.02</v>
      </c>
      <c r="D115">
        <v>1.46</v>
      </c>
      <c r="E115">
        <v>1.657</v>
      </c>
      <c r="F115" s="25">
        <v>6.3500000000000001E-2</v>
      </c>
      <c r="G115">
        <v>0.63600000000000001</v>
      </c>
      <c r="H115">
        <v>7.28</v>
      </c>
      <c r="I115">
        <v>9.23</v>
      </c>
      <c r="J115">
        <v>-2.15</v>
      </c>
      <c r="K115">
        <v>12.3</v>
      </c>
      <c r="L115">
        <v>9.11</v>
      </c>
      <c r="M115" s="25">
        <v>0.17960000000000001</v>
      </c>
      <c r="N115" s="25">
        <v>0.12670000000000001</v>
      </c>
      <c r="O115">
        <v>1.48</v>
      </c>
      <c r="P115" s="25">
        <v>8.0100000000000005E-2</v>
      </c>
      <c r="Q115" s="25">
        <v>0.112</v>
      </c>
      <c r="R115" s="26">
        <v>5304</v>
      </c>
      <c r="S115" s="26">
        <v>26272200000</v>
      </c>
      <c r="T115">
        <v>0.72</v>
      </c>
      <c r="U115" s="25">
        <v>2.06E-2</v>
      </c>
    </row>
    <row r="116" spans="1:21" x14ac:dyDescent="0.25">
      <c r="A116" t="s">
        <v>19</v>
      </c>
      <c r="B116">
        <v>12.39</v>
      </c>
      <c r="C116">
        <v>12.55</v>
      </c>
      <c r="D116">
        <v>1.41</v>
      </c>
      <c r="E116">
        <v>1.5980000000000001</v>
      </c>
      <c r="F116" s="25">
        <v>6.59E-2</v>
      </c>
      <c r="G116">
        <v>0.61299999999999999</v>
      </c>
      <c r="H116">
        <v>7.02</v>
      </c>
      <c r="I116">
        <v>8.9</v>
      </c>
      <c r="J116">
        <v>-2.0699999999999998</v>
      </c>
      <c r="K116">
        <v>11.97</v>
      </c>
      <c r="L116">
        <v>8.86</v>
      </c>
      <c r="M116" s="25">
        <v>0.17960000000000001</v>
      </c>
      <c r="N116" s="25">
        <v>0.12670000000000001</v>
      </c>
      <c r="O116">
        <v>1.48</v>
      </c>
      <c r="P116" s="25">
        <v>8.0100000000000005E-2</v>
      </c>
      <c r="Q116" s="25">
        <v>0.112</v>
      </c>
      <c r="R116" s="26">
        <v>188451000</v>
      </c>
      <c r="S116" s="26">
        <v>26272200000</v>
      </c>
      <c r="T116">
        <v>0.72</v>
      </c>
      <c r="U116" s="25">
        <v>2.06E-2</v>
      </c>
    </row>
    <row r="117" spans="1:21" x14ac:dyDescent="0.25">
      <c r="A117" t="s">
        <v>34</v>
      </c>
      <c r="B117">
        <v>8.48</v>
      </c>
      <c r="C117">
        <v>9.2200000000000006</v>
      </c>
      <c r="D117">
        <v>0.85</v>
      </c>
      <c r="E117">
        <v>0.153</v>
      </c>
      <c r="F117" s="25">
        <v>1.12E-2</v>
      </c>
      <c r="G117">
        <v>0.183</v>
      </c>
      <c r="H117" s="26">
        <v>2554.9499999999998</v>
      </c>
      <c r="I117">
        <v>3.78</v>
      </c>
      <c r="J117">
        <v>-0.67</v>
      </c>
      <c r="K117">
        <v>7.91</v>
      </c>
      <c r="L117">
        <v>5.72</v>
      </c>
      <c r="M117" s="25">
        <v>4.0399999999999998E-2</v>
      </c>
      <c r="N117" s="25">
        <v>1.8200000000000001E-2</v>
      </c>
      <c r="O117">
        <v>1</v>
      </c>
      <c r="P117" s="25">
        <v>6.3700000000000007E-2</v>
      </c>
      <c r="Q117" s="25">
        <v>9.2100000000000001E-2</v>
      </c>
      <c r="R117" s="26">
        <v>222761000</v>
      </c>
      <c r="S117" s="26">
        <v>21042000000</v>
      </c>
      <c r="T117">
        <v>1.19</v>
      </c>
      <c r="U117" s="25">
        <v>0.13439999999999999</v>
      </c>
    </row>
    <row r="118" spans="1:21" x14ac:dyDescent="0.25">
      <c r="A118" t="s">
        <v>369</v>
      </c>
      <c r="B118">
        <v>21.5</v>
      </c>
      <c r="C118">
        <v>-5.31</v>
      </c>
      <c r="D118">
        <v>1.06</v>
      </c>
      <c r="E118">
        <v>0.876</v>
      </c>
      <c r="F118" s="25">
        <v>0</v>
      </c>
      <c r="G118">
        <v>0.71599999999999997</v>
      </c>
      <c r="H118" s="26">
        <v>1.7</v>
      </c>
      <c r="I118">
        <v>-16.829999999999998</v>
      </c>
      <c r="J118">
        <v>2.42</v>
      </c>
      <c r="K118">
        <v>-13.32</v>
      </c>
      <c r="L118">
        <v>-71.87</v>
      </c>
      <c r="M118" s="25">
        <v>-5.21E-2</v>
      </c>
      <c r="N118" s="25">
        <v>-0.1651</v>
      </c>
      <c r="O118">
        <v>3.13</v>
      </c>
      <c r="P118" s="25">
        <v>-5.8700000000000002E-2</v>
      </c>
      <c r="Q118" s="25">
        <v>-0.1993</v>
      </c>
      <c r="R118" s="26">
        <v>305.91000000000003</v>
      </c>
      <c r="S118" s="26">
        <v>589725000</v>
      </c>
      <c r="T118">
        <v>0.02</v>
      </c>
      <c r="U118" s="25">
        <v>-0.08</v>
      </c>
    </row>
    <row r="119" spans="1:21" x14ac:dyDescent="0.25">
      <c r="A119" t="s">
        <v>211</v>
      </c>
      <c r="B119">
        <v>19.14</v>
      </c>
      <c r="C119">
        <v>-4.7300000000000004</v>
      </c>
      <c r="D119">
        <v>0.94</v>
      </c>
      <c r="E119">
        <v>0.78</v>
      </c>
      <c r="F119" s="25">
        <v>0</v>
      </c>
      <c r="G119">
        <v>0.63700000000000001</v>
      </c>
      <c r="H119" s="26">
        <v>1.51</v>
      </c>
      <c r="I119">
        <v>-14.98</v>
      </c>
      <c r="J119">
        <v>2.15</v>
      </c>
      <c r="K119">
        <v>-11.48</v>
      </c>
      <c r="L119">
        <v>-61.91</v>
      </c>
      <c r="M119" s="25">
        <v>-5.21E-2</v>
      </c>
      <c r="N119" s="25">
        <v>-0.1651</v>
      </c>
      <c r="O119">
        <v>3.13</v>
      </c>
      <c r="P119" s="25">
        <v>-5.8700000000000002E-2</v>
      </c>
      <c r="Q119" s="25">
        <v>-0.1993</v>
      </c>
      <c r="R119" s="26">
        <v>39321.5</v>
      </c>
      <c r="S119" s="26">
        <v>589725000</v>
      </c>
      <c r="T119">
        <v>0.02</v>
      </c>
      <c r="U119" s="25">
        <v>-0.08</v>
      </c>
    </row>
    <row r="120" spans="1:21" x14ac:dyDescent="0.25">
      <c r="A120" t="s">
        <v>370</v>
      </c>
      <c r="B120">
        <v>19.61</v>
      </c>
      <c r="C120">
        <v>-4.84</v>
      </c>
      <c r="D120">
        <v>0.96</v>
      </c>
      <c r="E120">
        <v>0.79900000000000004</v>
      </c>
      <c r="F120" s="25">
        <v>0</v>
      </c>
      <c r="G120">
        <v>0.65300000000000002</v>
      </c>
      <c r="H120">
        <v>1.55</v>
      </c>
      <c r="I120">
        <v>-15.35</v>
      </c>
      <c r="J120">
        <v>2.2000000000000002</v>
      </c>
      <c r="K120">
        <v>-11.85</v>
      </c>
      <c r="L120">
        <v>-63.89</v>
      </c>
      <c r="M120" s="25">
        <v>-5.21E-2</v>
      </c>
      <c r="N120" s="25">
        <v>-0.1651</v>
      </c>
      <c r="O120">
        <v>3.13</v>
      </c>
      <c r="P120" s="25">
        <v>-5.8700000000000002E-2</v>
      </c>
      <c r="Q120" s="25">
        <v>-0.1993</v>
      </c>
      <c r="R120" s="26">
        <v>4108.5</v>
      </c>
      <c r="S120" s="26">
        <v>589725000</v>
      </c>
      <c r="T120">
        <v>0.02</v>
      </c>
      <c r="U120" s="25">
        <v>-0.08</v>
      </c>
    </row>
    <row r="121" spans="1:21" x14ac:dyDescent="0.25">
      <c r="A121" t="s">
        <v>246</v>
      </c>
      <c r="B121">
        <v>8.1199999999999992</v>
      </c>
      <c r="C121">
        <v>-1.38</v>
      </c>
      <c r="D121">
        <v>1.92</v>
      </c>
      <c r="E121">
        <v>0.34599999999999997</v>
      </c>
      <c r="F121" s="25">
        <v>0</v>
      </c>
      <c r="G121">
        <v>0.11899999999999999</v>
      </c>
      <c r="H121">
        <v>1.02</v>
      </c>
      <c r="I121">
        <v>1.64</v>
      </c>
      <c r="J121">
        <v>-0.23</v>
      </c>
      <c r="K121">
        <v>7.31</v>
      </c>
      <c r="L121">
        <v>4.13</v>
      </c>
      <c r="M121" s="25">
        <v>0.21060000000000001</v>
      </c>
      <c r="N121" s="25">
        <v>-0.23669999999999999</v>
      </c>
      <c r="O121">
        <v>2.13</v>
      </c>
      <c r="P121" s="25">
        <v>8.48E-2</v>
      </c>
      <c r="Q121" s="25">
        <v>-1.3964000000000001</v>
      </c>
      <c r="R121" s="26">
        <v>134784000</v>
      </c>
      <c r="S121" s="26">
        <v>7891660000</v>
      </c>
      <c r="T121">
        <v>8.5</v>
      </c>
      <c r="U121" s="25">
        <v>0.28720000000000001</v>
      </c>
    </row>
    <row r="122" spans="1:21" x14ac:dyDescent="0.25">
      <c r="A122" t="s">
        <v>157</v>
      </c>
      <c r="B122">
        <v>5.2</v>
      </c>
      <c r="C122">
        <v>9.8699999999999992</v>
      </c>
      <c r="D122">
        <v>1.22</v>
      </c>
      <c r="E122">
        <v>0.72099999999999997</v>
      </c>
      <c r="F122" s="25">
        <v>7.2300000000000003E-2</v>
      </c>
      <c r="G122">
        <v>0.39400000000000002</v>
      </c>
      <c r="H122">
        <v>6.7</v>
      </c>
      <c r="I122">
        <v>3.82</v>
      </c>
      <c r="J122">
        <v>-0.88</v>
      </c>
      <c r="K122">
        <v>4.8499999999999996</v>
      </c>
      <c r="L122">
        <v>3.19</v>
      </c>
      <c r="M122" s="25">
        <v>0.18859999999999999</v>
      </c>
      <c r="N122" s="25">
        <v>7.2999999999999995E-2</v>
      </c>
      <c r="O122">
        <v>1.35</v>
      </c>
      <c r="P122" s="25">
        <v>0.12790000000000001</v>
      </c>
      <c r="Q122" s="25">
        <v>0.1234</v>
      </c>
      <c r="R122" s="26">
        <v>2765440</v>
      </c>
      <c r="S122" s="26">
        <v>1557200000</v>
      </c>
      <c r="T122">
        <v>0.85</v>
      </c>
      <c r="U122" s="25">
        <v>0.1042</v>
      </c>
    </row>
    <row r="123" spans="1:21" x14ac:dyDescent="0.25">
      <c r="A123" t="s">
        <v>128</v>
      </c>
      <c r="B123">
        <v>26.52</v>
      </c>
      <c r="C123">
        <v>7.23</v>
      </c>
      <c r="D123">
        <v>1.22</v>
      </c>
      <c r="E123">
        <v>1.2490000000000001</v>
      </c>
      <c r="F123" s="25">
        <v>6.0999999999999999E-2</v>
      </c>
      <c r="G123">
        <v>0.63300000000000001</v>
      </c>
      <c r="H123">
        <v>22.86</v>
      </c>
      <c r="I123">
        <v>4.47</v>
      </c>
      <c r="J123">
        <v>-1.93</v>
      </c>
      <c r="K123">
        <v>6.82</v>
      </c>
      <c r="L123">
        <v>4.9800000000000004</v>
      </c>
      <c r="M123" s="25">
        <v>0.27900000000000003</v>
      </c>
      <c r="N123" s="25">
        <v>0.1726</v>
      </c>
      <c r="O123">
        <v>1.22</v>
      </c>
      <c r="P123" s="25">
        <v>0.1515</v>
      </c>
      <c r="Q123" s="25">
        <v>0.16800000000000001</v>
      </c>
      <c r="R123" s="26">
        <v>49307800</v>
      </c>
      <c r="S123" s="26">
        <v>8296170000</v>
      </c>
      <c r="T123">
        <v>0.72</v>
      </c>
      <c r="U123" s="25">
        <v>0.1081</v>
      </c>
    </row>
    <row r="124" spans="1:21" x14ac:dyDescent="0.25">
      <c r="A124" t="s">
        <v>238</v>
      </c>
      <c r="B124">
        <v>7.94</v>
      </c>
      <c r="C124">
        <v>-4.0199999999999996</v>
      </c>
      <c r="D124">
        <v>0.8</v>
      </c>
      <c r="E124">
        <v>0.23499999999999999</v>
      </c>
      <c r="F124" s="25">
        <v>6.93E-2</v>
      </c>
      <c r="G124">
        <v>0.106</v>
      </c>
      <c r="H124">
        <v>0.76</v>
      </c>
      <c r="I124">
        <v>1.8</v>
      </c>
      <c r="J124">
        <v>-0.22</v>
      </c>
      <c r="K124">
        <v>7.35</v>
      </c>
      <c r="L124">
        <v>4.42</v>
      </c>
      <c r="M124" s="25">
        <v>0.1305</v>
      </c>
      <c r="N124" s="25">
        <v>-3.9899999999999998E-2</v>
      </c>
      <c r="O124">
        <v>1.64</v>
      </c>
      <c r="P124" s="25">
        <v>8.1000000000000003E-2</v>
      </c>
      <c r="Q124" s="25">
        <v>-0.20030000000000001</v>
      </c>
      <c r="R124" s="26">
        <v>87893100</v>
      </c>
      <c r="S124" s="26">
        <v>13083900000</v>
      </c>
      <c r="T124">
        <v>4.07</v>
      </c>
      <c r="U124" s="25">
        <v>3.2500000000000001E-2</v>
      </c>
    </row>
    <row r="125" spans="1:21" x14ac:dyDescent="0.25">
      <c r="A125" t="s">
        <v>31</v>
      </c>
      <c r="B125">
        <v>17.850000000000001</v>
      </c>
      <c r="C125">
        <v>8.17</v>
      </c>
      <c r="D125">
        <v>1.51</v>
      </c>
      <c r="E125">
        <v>1.288</v>
      </c>
      <c r="F125" s="25">
        <v>6.2399999999999997E-2</v>
      </c>
      <c r="G125">
        <v>1.0529999999999999</v>
      </c>
      <c r="H125">
        <v>17.03</v>
      </c>
      <c r="I125">
        <v>6.01</v>
      </c>
      <c r="J125">
        <v>-120.83</v>
      </c>
      <c r="K125">
        <v>5.89</v>
      </c>
      <c r="L125">
        <v>3.93</v>
      </c>
      <c r="M125" s="25">
        <v>0.2142</v>
      </c>
      <c r="N125" s="25">
        <v>0.1578</v>
      </c>
      <c r="O125">
        <v>1.27</v>
      </c>
      <c r="P125" s="25">
        <v>0.21060000000000001</v>
      </c>
      <c r="Q125" s="25">
        <v>0.1847</v>
      </c>
      <c r="R125" s="26">
        <v>651031</v>
      </c>
      <c r="S125" s="26">
        <v>494617000</v>
      </c>
      <c r="T125">
        <v>0.13</v>
      </c>
      <c r="U125" s="25">
        <v>4.7100000000000003E-2</v>
      </c>
    </row>
    <row r="126" spans="1:21" x14ac:dyDescent="0.25">
      <c r="A126" t="s">
        <v>500</v>
      </c>
      <c r="B126">
        <v>1.19</v>
      </c>
      <c r="C126">
        <v>-0.2</v>
      </c>
      <c r="D126">
        <v>0.3</v>
      </c>
      <c r="E126">
        <v>8.1000000000000003E-2</v>
      </c>
      <c r="F126" s="25">
        <v>0</v>
      </c>
      <c r="G126">
        <v>2.9000000000000001E-2</v>
      </c>
      <c r="H126">
        <v>-0.12</v>
      </c>
      <c r="I126">
        <v>-0.59</v>
      </c>
      <c r="J126">
        <v>-0.04</v>
      </c>
      <c r="K126">
        <v>-3.5</v>
      </c>
      <c r="L126">
        <v>-17.82</v>
      </c>
      <c r="M126" s="25">
        <v>-0.1366</v>
      </c>
      <c r="N126" s="25">
        <v>-0.41139999999999999</v>
      </c>
      <c r="O126">
        <v>0.38</v>
      </c>
      <c r="P126" s="25">
        <v>-5.28E-2</v>
      </c>
      <c r="Q126" s="25">
        <v>-1.5024</v>
      </c>
      <c r="R126" s="26">
        <v>17971.400000000001</v>
      </c>
      <c r="S126" s="26">
        <v>107351000</v>
      </c>
      <c r="T126">
        <v>2.09</v>
      </c>
      <c r="U126" s="25">
        <v>-0.25879999999999997</v>
      </c>
    </row>
    <row r="127" spans="1:21" x14ac:dyDescent="0.25">
      <c r="A127" t="s">
        <v>371</v>
      </c>
      <c r="B127">
        <v>41.79</v>
      </c>
      <c r="C127">
        <v>2.16</v>
      </c>
      <c r="D127">
        <v>13.98</v>
      </c>
      <c r="E127">
        <v>0.36399999999999999</v>
      </c>
      <c r="F127" s="25">
        <v>0</v>
      </c>
      <c r="G127">
        <v>0.36599999999999999</v>
      </c>
      <c r="H127">
        <v>1.2</v>
      </c>
      <c r="I127">
        <v>3.05</v>
      </c>
      <c r="J127">
        <v>-1.1499999999999999</v>
      </c>
      <c r="K127">
        <v>7.42</v>
      </c>
      <c r="L127">
        <v>6.03</v>
      </c>
      <c r="M127" s="25">
        <v>0.11940000000000001</v>
      </c>
      <c r="N127" s="25">
        <v>0.1686</v>
      </c>
      <c r="O127">
        <v>1.87</v>
      </c>
      <c r="P127" s="25">
        <v>0.1578</v>
      </c>
      <c r="Q127" s="25">
        <v>6.4744000000000002</v>
      </c>
      <c r="R127" s="26">
        <v>193.31</v>
      </c>
      <c r="S127" s="26">
        <v>18555000</v>
      </c>
      <c r="T127">
        <v>23.99</v>
      </c>
      <c r="U127" s="25">
        <v>0.13420000000000001</v>
      </c>
    </row>
    <row r="128" spans="1:21" x14ac:dyDescent="0.25">
      <c r="A128" t="s">
        <v>372</v>
      </c>
      <c r="B128">
        <v>37.880000000000003</v>
      </c>
      <c r="C128">
        <v>1.96</v>
      </c>
      <c r="D128">
        <v>12.67</v>
      </c>
      <c r="E128">
        <v>0.33</v>
      </c>
      <c r="F128" s="25">
        <v>0</v>
      </c>
      <c r="G128">
        <v>0.33200000000000002</v>
      </c>
      <c r="H128">
        <v>1.0900000000000001</v>
      </c>
      <c r="I128">
        <v>2.76</v>
      </c>
      <c r="J128">
        <v>-1.04</v>
      </c>
      <c r="K128">
        <v>7.13</v>
      </c>
      <c r="L128">
        <v>5.79</v>
      </c>
      <c r="M128" s="25">
        <v>0.11940000000000001</v>
      </c>
      <c r="N128" s="25">
        <v>0.1686</v>
      </c>
      <c r="O128">
        <v>1.87</v>
      </c>
      <c r="P128" s="25">
        <v>0.1578</v>
      </c>
      <c r="Q128" s="25">
        <v>6.4744000000000002</v>
      </c>
      <c r="R128" s="26">
        <v>13757.8</v>
      </c>
      <c r="S128" s="26">
        <v>18555000</v>
      </c>
      <c r="T128">
        <v>23.99</v>
      </c>
      <c r="U128" s="25">
        <v>0.13420000000000001</v>
      </c>
    </row>
    <row r="129" spans="1:21" x14ac:dyDescent="0.25">
      <c r="A129" t="s">
        <v>373</v>
      </c>
      <c r="B129">
        <v>4.29</v>
      </c>
      <c r="C129">
        <v>-0.24</v>
      </c>
      <c r="D129">
        <v>0.23</v>
      </c>
      <c r="E129">
        <v>0.30299999999999999</v>
      </c>
      <c r="F129" s="25">
        <v>0</v>
      </c>
      <c r="G129">
        <v>5.0999999999999997E-2</v>
      </c>
      <c r="H129">
        <v>-0.14000000000000001</v>
      </c>
      <c r="I129">
        <v>-0.44</v>
      </c>
      <c r="J129">
        <v>-0.08</v>
      </c>
      <c r="K129">
        <v>-3.53</v>
      </c>
      <c r="L129">
        <v>-4.16</v>
      </c>
      <c r="M129" s="25">
        <v>-0.69220000000000004</v>
      </c>
      <c r="N129" s="25">
        <v>-1.246</v>
      </c>
      <c r="O129">
        <v>0.3</v>
      </c>
      <c r="P129" s="25">
        <v>-0.13220000000000001</v>
      </c>
      <c r="Q129" s="25">
        <v>-0.93740000000000001</v>
      </c>
      <c r="R129" s="26">
        <v>241.71</v>
      </c>
      <c r="S129" s="26">
        <v>130725000</v>
      </c>
      <c r="T129">
        <v>1.66</v>
      </c>
      <c r="U129" s="25">
        <v>-0.34389999999999998</v>
      </c>
    </row>
    <row r="130" spans="1:21" x14ac:dyDescent="0.25">
      <c r="A130" t="s">
        <v>374</v>
      </c>
      <c r="B130">
        <v>2.4</v>
      </c>
      <c r="C130">
        <v>-0.14000000000000001</v>
      </c>
      <c r="D130">
        <v>0.13</v>
      </c>
      <c r="E130">
        <v>0.17</v>
      </c>
      <c r="F130" s="25">
        <v>0</v>
      </c>
      <c r="G130">
        <v>2.8000000000000001E-2</v>
      </c>
      <c r="H130">
        <v>-0.08</v>
      </c>
      <c r="I130">
        <v>-0.25</v>
      </c>
      <c r="J130">
        <v>-0.05</v>
      </c>
      <c r="K130">
        <v>-3.33</v>
      </c>
      <c r="L130">
        <v>-3.93</v>
      </c>
      <c r="M130" s="25">
        <v>-0.69220000000000004</v>
      </c>
      <c r="N130" s="25">
        <v>-1.246</v>
      </c>
      <c r="O130">
        <v>0.3</v>
      </c>
      <c r="P130" s="25">
        <v>-0.13220000000000001</v>
      </c>
      <c r="Q130" s="25">
        <v>-0.93740000000000001</v>
      </c>
      <c r="R130" s="26">
        <v>3507.5</v>
      </c>
      <c r="S130" s="26">
        <v>130725000</v>
      </c>
      <c r="T130">
        <v>1.66</v>
      </c>
      <c r="U130" s="25">
        <v>-0.34389999999999998</v>
      </c>
    </row>
    <row r="131" spans="1:21" x14ac:dyDescent="0.25">
      <c r="A131" t="s">
        <v>114</v>
      </c>
      <c r="B131">
        <v>29.09</v>
      </c>
      <c r="C131">
        <v>11.76</v>
      </c>
      <c r="D131">
        <v>7.49</v>
      </c>
      <c r="E131">
        <v>1.972</v>
      </c>
      <c r="F131" s="25">
        <v>4.1799999999999997E-2</v>
      </c>
      <c r="G131">
        <v>1.7430000000000001</v>
      </c>
      <c r="H131">
        <v>4.99</v>
      </c>
      <c r="I131">
        <v>8.36</v>
      </c>
      <c r="J131">
        <v>-18.420000000000002</v>
      </c>
      <c r="K131">
        <v>8.1</v>
      </c>
      <c r="L131">
        <v>7.85</v>
      </c>
      <c r="M131" s="25">
        <v>0.2359</v>
      </c>
      <c r="N131" s="25">
        <v>0.18079999999999999</v>
      </c>
      <c r="O131">
        <v>2.2599999999999998</v>
      </c>
      <c r="P131" s="25">
        <v>0.33079999999999998</v>
      </c>
      <c r="Q131" s="25">
        <v>0.63680000000000003</v>
      </c>
      <c r="R131" s="26">
        <v>69755100</v>
      </c>
      <c r="S131" s="26">
        <v>1133950000</v>
      </c>
      <c r="T131">
        <v>1.1299999999999999</v>
      </c>
      <c r="U131" s="25">
        <v>0.34849999999999998</v>
      </c>
    </row>
    <row r="132" spans="1:21" x14ac:dyDescent="0.25">
      <c r="A132" t="s">
        <v>71</v>
      </c>
      <c r="B132">
        <v>2.31</v>
      </c>
      <c r="C132">
        <v>-15.89</v>
      </c>
      <c r="D132">
        <v>2.34</v>
      </c>
      <c r="E132">
        <v>0.84099999999999997</v>
      </c>
      <c r="F132" s="25">
        <v>0</v>
      </c>
      <c r="G132">
        <v>0.32500000000000001</v>
      </c>
      <c r="H132">
        <v>-4.01</v>
      </c>
      <c r="I132">
        <v>10.57</v>
      </c>
      <c r="J132">
        <v>-1.1499999999999999</v>
      </c>
      <c r="K132">
        <v>12</v>
      </c>
      <c r="L132">
        <v>4.0599999999999996</v>
      </c>
      <c r="M132" s="25">
        <v>7.9600000000000004E-2</v>
      </c>
      <c r="N132" s="25">
        <v>-5.2900000000000003E-2</v>
      </c>
      <c r="O132">
        <v>0.88</v>
      </c>
      <c r="P132" s="25">
        <v>4.1700000000000001E-2</v>
      </c>
      <c r="Q132" s="25">
        <v>-0.1472</v>
      </c>
      <c r="R132" s="26">
        <v>35315400</v>
      </c>
      <c r="S132" s="26">
        <v>519227000</v>
      </c>
      <c r="T132">
        <v>1.0900000000000001</v>
      </c>
      <c r="U132" s="25">
        <v>0.35599999999999998</v>
      </c>
    </row>
    <row r="133" spans="1:21" x14ac:dyDescent="0.25">
      <c r="A133" t="s">
        <v>56</v>
      </c>
      <c r="B133">
        <v>14.6</v>
      </c>
      <c r="C133">
        <v>11.06</v>
      </c>
      <c r="D133">
        <v>3.12</v>
      </c>
      <c r="E133">
        <v>0</v>
      </c>
      <c r="F133" s="25">
        <v>7.85E-2</v>
      </c>
      <c r="G133">
        <v>3.073</v>
      </c>
      <c r="H133">
        <v>24.13</v>
      </c>
      <c r="I133">
        <v>-341.96</v>
      </c>
      <c r="J133">
        <v>24.18</v>
      </c>
      <c r="K133">
        <v>-332.55</v>
      </c>
      <c r="L133">
        <v>-332.57</v>
      </c>
      <c r="M133" s="25">
        <v>0</v>
      </c>
      <c r="N133" s="25">
        <v>0</v>
      </c>
      <c r="O133">
        <v>9.32</v>
      </c>
      <c r="P133" s="25">
        <v>-9.7999999999999997E-3</v>
      </c>
      <c r="Q133" s="25">
        <v>0.28220000000000001</v>
      </c>
      <c r="R133" s="26">
        <v>74684200</v>
      </c>
      <c r="S133" s="26">
        <v>14032600000</v>
      </c>
      <c r="T133">
        <v>0</v>
      </c>
      <c r="U133" s="25">
        <v>0</v>
      </c>
    </row>
    <row r="134" spans="1:21" x14ac:dyDescent="0.25">
      <c r="A134" t="s">
        <v>55</v>
      </c>
      <c r="B134">
        <v>24.4</v>
      </c>
      <c r="C134">
        <v>5.48</v>
      </c>
      <c r="D134">
        <v>1</v>
      </c>
      <c r="E134">
        <v>1.123</v>
      </c>
      <c r="F134" s="25">
        <v>4.3799999999999999E-2</v>
      </c>
      <c r="G134">
        <v>0.42899999999999999</v>
      </c>
      <c r="H134">
        <v>1.08</v>
      </c>
      <c r="I134">
        <v>6.12</v>
      </c>
      <c r="J134">
        <v>9.82</v>
      </c>
      <c r="K134">
        <v>8.08</v>
      </c>
      <c r="L134">
        <v>7.66</v>
      </c>
      <c r="M134" s="25">
        <v>0.18360000000000001</v>
      </c>
      <c r="N134" s="25">
        <v>0.17449999999999999</v>
      </c>
      <c r="O134">
        <v>3.36</v>
      </c>
      <c r="P134" s="25">
        <v>8.2600000000000007E-2</v>
      </c>
      <c r="Q134" s="25">
        <v>0.18279999999999999</v>
      </c>
      <c r="R134" s="26">
        <v>141872000</v>
      </c>
      <c r="S134" s="26">
        <v>9350230000</v>
      </c>
      <c r="T134">
        <v>0.64</v>
      </c>
      <c r="U134" s="25">
        <v>0.18590000000000001</v>
      </c>
    </row>
    <row r="135" spans="1:21" x14ac:dyDescent="0.25">
      <c r="A135" t="s">
        <v>255</v>
      </c>
      <c r="B135">
        <v>1.5</v>
      </c>
      <c r="C135">
        <v>-1.66</v>
      </c>
      <c r="D135">
        <v>0.24</v>
      </c>
      <c r="E135">
        <v>0.122</v>
      </c>
      <c r="F135" s="25">
        <v>0</v>
      </c>
      <c r="G135">
        <v>6.7000000000000004E-2</v>
      </c>
      <c r="H135">
        <v>0.38</v>
      </c>
      <c r="I135">
        <v>1.75</v>
      </c>
      <c r="J135">
        <v>-0.19</v>
      </c>
      <c r="K135">
        <v>10.16</v>
      </c>
      <c r="L135">
        <v>4.47</v>
      </c>
      <c r="M135" s="25">
        <v>6.9699999999999998E-2</v>
      </c>
      <c r="N135" s="25">
        <v>-7.3400000000000007E-2</v>
      </c>
      <c r="O135">
        <v>1.92</v>
      </c>
      <c r="P135" s="25">
        <v>4.6100000000000002E-2</v>
      </c>
      <c r="Q135" s="25">
        <v>-0.14549999999999999</v>
      </c>
      <c r="R135" s="26">
        <v>1165000</v>
      </c>
      <c r="S135" s="26">
        <v>7813960000</v>
      </c>
      <c r="T135">
        <v>1.61</v>
      </c>
      <c r="U135" s="25">
        <v>0.1711</v>
      </c>
    </row>
    <row r="136" spans="1:21" x14ac:dyDescent="0.25">
      <c r="A136" t="s">
        <v>107</v>
      </c>
      <c r="B136">
        <v>9.5</v>
      </c>
      <c r="C136">
        <v>12.19</v>
      </c>
      <c r="D136">
        <v>0.8</v>
      </c>
      <c r="E136">
        <v>0.95299999999999996</v>
      </c>
      <c r="F136" s="25">
        <v>3.8999999999999998E-3</v>
      </c>
      <c r="G136">
        <v>0.307</v>
      </c>
      <c r="H136">
        <v>6.6</v>
      </c>
      <c r="I136">
        <v>3.24</v>
      </c>
      <c r="J136">
        <v>-0.7</v>
      </c>
      <c r="K136">
        <v>6.35</v>
      </c>
      <c r="L136">
        <v>3.82</v>
      </c>
      <c r="M136" s="25">
        <v>0.29360000000000003</v>
      </c>
      <c r="N136" s="25">
        <v>8.7300000000000003E-2</v>
      </c>
      <c r="O136">
        <v>1.37</v>
      </c>
      <c r="P136" s="25">
        <v>0.108</v>
      </c>
      <c r="Q136" s="25">
        <v>6.59E-2</v>
      </c>
      <c r="R136" s="26">
        <v>2200210</v>
      </c>
      <c r="S136" s="26">
        <v>1369920000</v>
      </c>
      <c r="T136">
        <v>1.02</v>
      </c>
      <c r="U136" s="25">
        <v>0.36709999999999998</v>
      </c>
    </row>
    <row r="137" spans="1:21" x14ac:dyDescent="0.25">
      <c r="A137" t="s">
        <v>58</v>
      </c>
      <c r="B137">
        <v>8.85</v>
      </c>
      <c r="C137">
        <v>6.19</v>
      </c>
      <c r="D137">
        <v>0.97</v>
      </c>
      <c r="E137">
        <v>0.47799999999999998</v>
      </c>
      <c r="F137" s="25">
        <v>5.9499999999999997E-2</v>
      </c>
      <c r="G137">
        <v>0.59599999999999997</v>
      </c>
      <c r="H137">
        <v>1.35</v>
      </c>
      <c r="I137">
        <v>6.21</v>
      </c>
      <c r="J137">
        <v>2.2000000000000002</v>
      </c>
      <c r="K137">
        <v>5.98</v>
      </c>
      <c r="L137">
        <v>4.95</v>
      </c>
      <c r="M137" s="25">
        <v>7.6899999999999996E-2</v>
      </c>
      <c r="N137" s="25">
        <v>7.9000000000000001E-2</v>
      </c>
      <c r="O137">
        <v>3.06</v>
      </c>
      <c r="P137" s="25">
        <v>0.13239999999999999</v>
      </c>
      <c r="Q137" s="25">
        <v>0.15640000000000001</v>
      </c>
      <c r="R137" s="26">
        <v>925656</v>
      </c>
      <c r="S137" s="26">
        <v>999766000</v>
      </c>
      <c r="T137">
        <v>0.24</v>
      </c>
      <c r="U137" s="25">
        <v>0.1051</v>
      </c>
    </row>
    <row r="138" spans="1:21" x14ac:dyDescent="0.25">
      <c r="A138" t="s">
        <v>375</v>
      </c>
      <c r="B138">
        <v>8.94</v>
      </c>
      <c r="C138">
        <v>6.25</v>
      </c>
      <c r="D138">
        <v>0.98</v>
      </c>
      <c r="E138">
        <v>0.48199999999999998</v>
      </c>
      <c r="F138" s="25">
        <v>6.0100000000000001E-2</v>
      </c>
      <c r="G138">
        <v>0.60199999999999998</v>
      </c>
      <c r="H138">
        <v>1.36</v>
      </c>
      <c r="I138">
        <v>6.27</v>
      </c>
      <c r="J138">
        <v>2.2200000000000002</v>
      </c>
      <c r="K138">
        <v>6.04</v>
      </c>
      <c r="L138">
        <v>5</v>
      </c>
      <c r="M138" s="25">
        <v>7.6899999999999996E-2</v>
      </c>
      <c r="N138" s="25">
        <v>7.9000000000000001E-2</v>
      </c>
      <c r="O138">
        <v>3.06</v>
      </c>
      <c r="P138" s="25">
        <v>0.13239999999999999</v>
      </c>
      <c r="Q138" s="25">
        <v>0.15640000000000001</v>
      </c>
      <c r="R138" s="26">
        <v>104586</v>
      </c>
      <c r="S138" s="26">
        <v>999766000</v>
      </c>
      <c r="T138">
        <v>0.24</v>
      </c>
      <c r="U138" s="25">
        <v>0.1051</v>
      </c>
    </row>
    <row r="139" spans="1:21" x14ac:dyDescent="0.25">
      <c r="A139" t="s">
        <v>120</v>
      </c>
      <c r="B139">
        <v>39.46</v>
      </c>
      <c r="C139">
        <v>10.49</v>
      </c>
      <c r="D139">
        <v>3.14</v>
      </c>
      <c r="E139">
        <v>1.9159999999999999</v>
      </c>
      <c r="F139" s="25">
        <v>8.4400000000000003E-2</v>
      </c>
      <c r="G139">
        <v>0.64500000000000002</v>
      </c>
      <c r="H139">
        <v>1.98</v>
      </c>
      <c r="I139">
        <v>8.65</v>
      </c>
      <c r="J139">
        <v>-1.92</v>
      </c>
      <c r="K139">
        <v>9.1</v>
      </c>
      <c r="L139">
        <v>8.34</v>
      </c>
      <c r="M139" s="25">
        <v>0.22140000000000001</v>
      </c>
      <c r="N139" s="25">
        <v>0.2099</v>
      </c>
      <c r="O139">
        <v>3.82</v>
      </c>
      <c r="P139" s="25">
        <v>8.9499999999999996E-2</v>
      </c>
      <c r="Q139" s="25">
        <v>0.29959999999999998</v>
      </c>
      <c r="R139" s="26">
        <v>72244700</v>
      </c>
      <c r="S139" s="26">
        <v>2178390000</v>
      </c>
      <c r="T139">
        <v>0.91</v>
      </c>
      <c r="U139" s="25">
        <v>0.2064</v>
      </c>
    </row>
    <row r="140" spans="1:21" x14ac:dyDescent="0.25">
      <c r="A140" t="s">
        <v>9</v>
      </c>
      <c r="B140">
        <v>5.07</v>
      </c>
      <c r="C140">
        <v>10.28</v>
      </c>
      <c r="D140">
        <v>0.28999999999999998</v>
      </c>
      <c r="E140">
        <v>0.114</v>
      </c>
      <c r="F140" s="25">
        <v>0</v>
      </c>
      <c r="G140">
        <v>0.14000000000000001</v>
      </c>
      <c r="H140">
        <v>6.08</v>
      </c>
      <c r="I140">
        <v>4.05</v>
      </c>
      <c r="J140">
        <v>-0.71</v>
      </c>
      <c r="K140">
        <v>4.12</v>
      </c>
      <c r="L140">
        <v>1.4</v>
      </c>
      <c r="M140" s="25">
        <v>2.8199999999999999E-2</v>
      </c>
      <c r="N140" s="25">
        <v>1.11E-2</v>
      </c>
      <c r="O140">
        <v>1.08</v>
      </c>
      <c r="P140" s="25">
        <v>4.3799999999999999E-2</v>
      </c>
      <c r="Q140" s="25">
        <v>2.7799999999999998E-2</v>
      </c>
      <c r="R140" s="26">
        <v>457151</v>
      </c>
      <c r="S140" s="26">
        <v>896843000</v>
      </c>
      <c r="T140">
        <v>0.04</v>
      </c>
      <c r="U140" s="25">
        <v>0.23039999999999999</v>
      </c>
    </row>
    <row r="141" spans="1:21" x14ac:dyDescent="0.25">
      <c r="A141" t="s">
        <v>376</v>
      </c>
      <c r="B141">
        <v>6.51</v>
      </c>
      <c r="C141">
        <v>-117.73</v>
      </c>
      <c r="D141">
        <v>0.71</v>
      </c>
      <c r="E141">
        <v>0.77</v>
      </c>
      <c r="F141" s="25">
        <v>0</v>
      </c>
      <c r="G141">
        <v>0.495</v>
      </c>
      <c r="H141">
        <v>1.03</v>
      </c>
      <c r="I141">
        <v>-15.12</v>
      </c>
      <c r="J141">
        <v>1.83</v>
      </c>
      <c r="K141">
        <v>-17.440000000000001</v>
      </c>
      <c r="L141">
        <v>-51.74</v>
      </c>
      <c r="M141" s="25">
        <v>-5.0900000000000001E-2</v>
      </c>
      <c r="N141" s="25">
        <v>-6.4999999999999997E-3</v>
      </c>
      <c r="O141">
        <v>6</v>
      </c>
      <c r="P141" s="25">
        <v>-3.6600000000000001E-2</v>
      </c>
      <c r="Q141" s="25">
        <v>-6.0000000000000001E-3</v>
      </c>
      <c r="R141" s="26">
        <v>60.88</v>
      </c>
      <c r="S141" s="26">
        <v>693418000</v>
      </c>
      <c r="T141">
        <v>0.22</v>
      </c>
      <c r="U141" s="25">
        <v>7.3000000000000001E-3</v>
      </c>
    </row>
    <row r="142" spans="1:21" x14ac:dyDescent="0.25">
      <c r="A142" t="s">
        <v>134</v>
      </c>
      <c r="B142">
        <v>3.98</v>
      </c>
      <c r="C142">
        <v>-71.97</v>
      </c>
      <c r="D142">
        <v>0.43</v>
      </c>
      <c r="E142">
        <v>0.47099999999999997</v>
      </c>
      <c r="F142" s="25">
        <v>0</v>
      </c>
      <c r="G142">
        <v>0.30299999999999999</v>
      </c>
      <c r="H142">
        <v>0.63</v>
      </c>
      <c r="I142">
        <v>-9.24</v>
      </c>
      <c r="J142">
        <v>1.1200000000000001</v>
      </c>
      <c r="K142">
        <v>-11.57</v>
      </c>
      <c r="L142">
        <v>-34.31</v>
      </c>
      <c r="M142" s="25">
        <v>-5.0900000000000001E-2</v>
      </c>
      <c r="N142" s="25">
        <v>-6.4999999999999997E-3</v>
      </c>
      <c r="O142">
        <v>6</v>
      </c>
      <c r="P142" s="25">
        <v>-3.6600000000000001E-2</v>
      </c>
      <c r="Q142" s="25">
        <v>-6.0000000000000001E-3</v>
      </c>
      <c r="R142" s="26">
        <v>8287.83</v>
      </c>
      <c r="S142" s="26">
        <v>693418000</v>
      </c>
      <c r="T142">
        <v>0.22</v>
      </c>
      <c r="U142" s="25">
        <v>7.3000000000000001E-3</v>
      </c>
    </row>
    <row r="143" spans="1:21" x14ac:dyDescent="0.25">
      <c r="A143" t="s">
        <v>259</v>
      </c>
      <c r="B143">
        <v>7.76</v>
      </c>
      <c r="C143">
        <v>-14.21</v>
      </c>
      <c r="D143">
        <v>-0.42</v>
      </c>
      <c r="E143">
        <v>0.63700000000000001</v>
      </c>
      <c r="F143" s="25">
        <v>0</v>
      </c>
      <c r="G143">
        <v>0.54800000000000004</v>
      </c>
      <c r="H143">
        <v>-0.47</v>
      </c>
      <c r="I143">
        <v>14.97</v>
      </c>
      <c r="J143">
        <v>-0.28000000000000003</v>
      </c>
      <c r="K143">
        <v>19.66</v>
      </c>
      <c r="L143">
        <v>3.76</v>
      </c>
      <c r="M143" s="25">
        <v>4.2500000000000003E-2</v>
      </c>
      <c r="N143" s="25">
        <v>-4.48E-2</v>
      </c>
      <c r="O143">
        <v>0.23</v>
      </c>
      <c r="P143" s="25">
        <v>5.8299999999999998E-2</v>
      </c>
      <c r="Q143" s="25">
        <v>2.9399999999999999E-2</v>
      </c>
      <c r="R143" s="26">
        <v>132254</v>
      </c>
      <c r="S143" s="26">
        <v>-247366000</v>
      </c>
      <c r="T143">
        <v>-0.23</v>
      </c>
      <c r="U143" s="25">
        <v>7.1099999999999997E-2</v>
      </c>
    </row>
    <row r="144" spans="1:21" x14ac:dyDescent="0.25">
      <c r="A144" t="s">
        <v>377</v>
      </c>
      <c r="B144">
        <v>2.99</v>
      </c>
      <c r="C144">
        <v>-38.520000000000003</v>
      </c>
      <c r="D144">
        <v>29.25</v>
      </c>
      <c r="E144">
        <v>5.4329999999999998</v>
      </c>
      <c r="F144" s="25">
        <v>0</v>
      </c>
      <c r="G144">
        <v>4.0449999999999999</v>
      </c>
      <c r="H144">
        <v>9.1300000000000008</v>
      </c>
      <c r="I144">
        <v>-40.049999999999997</v>
      </c>
      <c r="J144">
        <v>83.2</v>
      </c>
      <c r="K144">
        <v>-38.75</v>
      </c>
      <c r="L144">
        <v>-257.58999999999997</v>
      </c>
      <c r="M144" s="25">
        <v>-0.13569999999999999</v>
      </c>
      <c r="N144" s="25">
        <v>-0.14099999999999999</v>
      </c>
      <c r="O144">
        <v>1.95</v>
      </c>
      <c r="P144" s="25">
        <v>-0.1195</v>
      </c>
      <c r="Q144" s="25">
        <v>-0.75919999999999999</v>
      </c>
      <c r="R144" s="26">
        <v>3458.26</v>
      </c>
      <c r="S144" s="26">
        <v>1138000</v>
      </c>
      <c r="T144">
        <v>0</v>
      </c>
      <c r="U144" s="25">
        <v>-0.16789999999999999</v>
      </c>
    </row>
    <row r="145" spans="1:21" x14ac:dyDescent="0.25">
      <c r="A145" t="s">
        <v>149</v>
      </c>
      <c r="B145">
        <v>5.55</v>
      </c>
      <c r="C145">
        <v>17.66</v>
      </c>
      <c r="D145">
        <v>0.66</v>
      </c>
      <c r="E145">
        <v>0.55500000000000005</v>
      </c>
      <c r="F145" s="25">
        <v>9.7000000000000003E-3</v>
      </c>
      <c r="G145">
        <v>0.253</v>
      </c>
      <c r="H145">
        <v>3.48</v>
      </c>
      <c r="I145">
        <v>5.8</v>
      </c>
      <c r="J145">
        <v>-0.75</v>
      </c>
      <c r="K145">
        <v>12.22</v>
      </c>
      <c r="L145">
        <v>4.8099999999999996</v>
      </c>
      <c r="M145" s="25">
        <v>9.5699999999999993E-2</v>
      </c>
      <c r="N145" s="25">
        <v>3.27E-2</v>
      </c>
      <c r="O145">
        <v>1.37</v>
      </c>
      <c r="P145" s="25">
        <v>5.11E-2</v>
      </c>
      <c r="Q145" s="25">
        <v>3.7499999999999999E-2</v>
      </c>
      <c r="R145" s="26">
        <v>14661100</v>
      </c>
      <c r="S145" s="26">
        <v>6872730000</v>
      </c>
      <c r="T145">
        <v>0.95</v>
      </c>
      <c r="U145" s="25">
        <v>3.61E-2</v>
      </c>
    </row>
    <row r="146" spans="1:21" x14ac:dyDescent="0.25">
      <c r="A146" t="s">
        <v>378</v>
      </c>
      <c r="B146">
        <v>15.01</v>
      </c>
      <c r="C146">
        <v>3.56</v>
      </c>
      <c r="D146">
        <v>1</v>
      </c>
      <c r="E146">
        <v>0.57499999999999996</v>
      </c>
      <c r="F146" s="25">
        <v>3.8199999999999998E-2</v>
      </c>
      <c r="G146">
        <v>0.52400000000000002</v>
      </c>
      <c r="H146">
        <v>5.68</v>
      </c>
      <c r="I146">
        <v>3.61</v>
      </c>
      <c r="J146">
        <v>-10.81</v>
      </c>
      <c r="K146">
        <v>4.66</v>
      </c>
      <c r="L146">
        <v>3.71</v>
      </c>
      <c r="M146" s="25">
        <v>0.15939999999999999</v>
      </c>
      <c r="N146" s="25">
        <v>0.1613</v>
      </c>
      <c r="O146">
        <v>1.27</v>
      </c>
      <c r="P146" s="25">
        <v>0.15529999999999999</v>
      </c>
      <c r="Q146" s="25">
        <v>0.28110000000000002</v>
      </c>
      <c r="R146" s="26">
        <v>22129</v>
      </c>
      <c r="S146" s="26">
        <v>337052000</v>
      </c>
      <c r="T146">
        <v>0.32</v>
      </c>
      <c r="U146" s="25">
        <v>0.1925</v>
      </c>
    </row>
    <row r="147" spans="1:21" x14ac:dyDescent="0.25">
      <c r="A147" t="s">
        <v>74</v>
      </c>
      <c r="B147">
        <v>14.65</v>
      </c>
      <c r="C147">
        <v>3.48</v>
      </c>
      <c r="D147">
        <v>0.98</v>
      </c>
      <c r="E147">
        <v>0.56100000000000005</v>
      </c>
      <c r="F147" s="25">
        <v>4.2999999999999997E-2</v>
      </c>
      <c r="G147">
        <v>0.51100000000000001</v>
      </c>
      <c r="H147">
        <v>5.54</v>
      </c>
      <c r="I147">
        <v>3.52</v>
      </c>
      <c r="J147">
        <v>-10.55</v>
      </c>
      <c r="K147">
        <v>4.57</v>
      </c>
      <c r="L147">
        <v>3.64</v>
      </c>
      <c r="M147" s="25">
        <v>0.15939999999999999</v>
      </c>
      <c r="N147" s="25">
        <v>0.1613</v>
      </c>
      <c r="O147">
        <v>1.27</v>
      </c>
      <c r="P147" s="25">
        <v>0.15529999999999999</v>
      </c>
      <c r="Q147" s="25">
        <v>0.28110000000000002</v>
      </c>
      <c r="R147" s="26">
        <v>179850</v>
      </c>
      <c r="S147" s="26">
        <v>337052000</v>
      </c>
      <c r="T147">
        <v>0.32</v>
      </c>
      <c r="U147" s="25">
        <v>0.1925</v>
      </c>
    </row>
    <row r="148" spans="1:21" x14ac:dyDescent="0.25">
      <c r="A148" t="s">
        <v>192</v>
      </c>
      <c r="B148">
        <v>7.19</v>
      </c>
      <c r="C148">
        <v>6.11</v>
      </c>
      <c r="D148">
        <v>1.4</v>
      </c>
      <c r="E148">
        <v>0.49199999999999999</v>
      </c>
      <c r="F148" s="25">
        <v>0</v>
      </c>
      <c r="G148">
        <v>0.154</v>
      </c>
      <c r="H148">
        <v>-9.69</v>
      </c>
      <c r="I148">
        <v>1.37</v>
      </c>
      <c r="J148">
        <v>-0.21</v>
      </c>
      <c r="K148">
        <v>6.63</v>
      </c>
      <c r="L148">
        <v>5.12</v>
      </c>
      <c r="M148" s="25">
        <v>0.35809999999999997</v>
      </c>
      <c r="N148" s="25">
        <v>7.9899999999999999E-2</v>
      </c>
      <c r="O148">
        <v>0.9</v>
      </c>
      <c r="P148" s="25">
        <v>0.12909999999999999</v>
      </c>
      <c r="Q148" s="25">
        <v>0.2293</v>
      </c>
      <c r="R148" s="26">
        <v>31805500</v>
      </c>
      <c r="S148" s="26">
        <v>3574010000</v>
      </c>
      <c r="T148">
        <v>6.44</v>
      </c>
      <c r="U148" s="25">
        <v>0.28670000000000001</v>
      </c>
    </row>
    <row r="149" spans="1:21" x14ac:dyDescent="0.25">
      <c r="A149" t="s">
        <v>78</v>
      </c>
      <c r="B149">
        <v>40.46</v>
      </c>
      <c r="C149">
        <v>9.81</v>
      </c>
      <c r="D149">
        <v>2.73</v>
      </c>
      <c r="E149">
        <v>2.84</v>
      </c>
      <c r="F149" s="25">
        <v>5.7500000000000002E-2</v>
      </c>
      <c r="G149">
        <v>0.626</v>
      </c>
      <c r="H149">
        <v>17.399999999999999</v>
      </c>
      <c r="I149">
        <v>5.76</v>
      </c>
      <c r="J149">
        <v>-1.07</v>
      </c>
      <c r="K149">
        <v>9.2899999999999991</v>
      </c>
      <c r="L149">
        <v>7.74</v>
      </c>
      <c r="M149" s="25">
        <v>0.49340000000000001</v>
      </c>
      <c r="N149" s="25">
        <v>0.2964</v>
      </c>
      <c r="O149">
        <v>1.27</v>
      </c>
      <c r="P149" s="25">
        <v>0.1239</v>
      </c>
      <c r="Q149" s="25">
        <v>0.27839999999999998</v>
      </c>
      <c r="R149" s="26">
        <v>57711000</v>
      </c>
      <c r="S149" s="26">
        <v>12083000000</v>
      </c>
      <c r="T149">
        <v>2.14</v>
      </c>
      <c r="U149" s="25">
        <v>-3.7199999999999997E-2</v>
      </c>
    </row>
    <row r="150" spans="1:21" x14ac:dyDescent="0.25">
      <c r="A150" t="s">
        <v>379</v>
      </c>
      <c r="B150">
        <v>35</v>
      </c>
      <c r="C150">
        <v>7.28</v>
      </c>
      <c r="D150">
        <v>2.97</v>
      </c>
      <c r="E150">
        <v>0.72099999999999997</v>
      </c>
      <c r="F150" s="25">
        <v>0.12659999999999999</v>
      </c>
      <c r="G150">
        <v>0.55400000000000005</v>
      </c>
      <c r="H150">
        <v>-33.57</v>
      </c>
      <c r="I150">
        <v>3.02</v>
      </c>
      <c r="J150">
        <v>-1.03</v>
      </c>
      <c r="K150">
        <v>5.92</v>
      </c>
      <c r="L150">
        <v>5.01</v>
      </c>
      <c r="M150" s="25">
        <v>0.23880000000000001</v>
      </c>
      <c r="N150" s="25">
        <v>9.8900000000000002E-2</v>
      </c>
      <c r="O150">
        <v>0.94</v>
      </c>
      <c r="P150" s="25">
        <v>0.20849999999999999</v>
      </c>
      <c r="Q150" s="25">
        <v>0.40739999999999998</v>
      </c>
      <c r="R150" s="26">
        <v>1500.93</v>
      </c>
      <c r="S150" s="26">
        <v>2285000000</v>
      </c>
      <c r="T150">
        <v>3.16</v>
      </c>
      <c r="U150" s="25">
        <v>5.5100000000000003E-2</v>
      </c>
    </row>
    <row r="151" spans="1:21" x14ac:dyDescent="0.25">
      <c r="A151" t="s">
        <v>380</v>
      </c>
      <c r="B151">
        <v>48.1</v>
      </c>
      <c r="C151">
        <v>10.01</v>
      </c>
      <c r="D151">
        <v>4.08</v>
      </c>
      <c r="E151">
        <v>0.99099999999999999</v>
      </c>
      <c r="F151" s="25">
        <v>0.1013</v>
      </c>
      <c r="G151">
        <v>0.76100000000000001</v>
      </c>
      <c r="H151">
        <v>-46.14</v>
      </c>
      <c r="I151">
        <v>4.1500000000000004</v>
      </c>
      <c r="J151">
        <v>-1.42</v>
      </c>
      <c r="K151">
        <v>7.05</v>
      </c>
      <c r="L151">
        <v>5.97</v>
      </c>
      <c r="M151" s="25">
        <v>0.23880000000000001</v>
      </c>
      <c r="N151" s="25">
        <v>9.8900000000000002E-2</v>
      </c>
      <c r="O151">
        <v>0.94</v>
      </c>
      <c r="P151" s="25">
        <v>0.20849999999999999</v>
      </c>
      <c r="Q151" s="25">
        <v>0.40739999999999998</v>
      </c>
      <c r="R151" s="26">
        <v>12361.4</v>
      </c>
      <c r="S151" s="26">
        <v>2285000000</v>
      </c>
      <c r="T151">
        <v>3.16</v>
      </c>
      <c r="U151" s="25">
        <v>5.5100000000000003E-2</v>
      </c>
    </row>
    <row r="152" spans="1:21" x14ac:dyDescent="0.25">
      <c r="A152" t="s">
        <v>118</v>
      </c>
      <c r="B152">
        <v>41.3</v>
      </c>
      <c r="C152">
        <v>9.83</v>
      </c>
      <c r="D152">
        <v>0.78</v>
      </c>
      <c r="E152">
        <v>2.2749999999999999</v>
      </c>
      <c r="F152" s="25">
        <v>4.2599999999999999E-2</v>
      </c>
      <c r="G152">
        <v>0.33800000000000002</v>
      </c>
      <c r="H152">
        <v>2.95</v>
      </c>
      <c r="I152">
        <v>6.76</v>
      </c>
      <c r="J152">
        <v>-0.92</v>
      </c>
      <c r="K152">
        <v>9.61</v>
      </c>
      <c r="L152">
        <v>7.45</v>
      </c>
      <c r="M152" s="25">
        <v>0.33650000000000002</v>
      </c>
      <c r="N152" s="25">
        <v>0.23150000000000001</v>
      </c>
      <c r="O152">
        <v>2.29</v>
      </c>
      <c r="P152" s="25">
        <v>5.6599999999999998E-2</v>
      </c>
      <c r="Q152" s="25">
        <v>7.9799999999999996E-2</v>
      </c>
      <c r="R152" s="26">
        <v>315006000</v>
      </c>
      <c r="S152" s="26">
        <v>121494000000</v>
      </c>
      <c r="T152">
        <v>0.57999999999999996</v>
      </c>
      <c r="U152" s="25">
        <v>6.1199999999999997E-2</v>
      </c>
    </row>
    <row r="153" spans="1:21" x14ac:dyDescent="0.25">
      <c r="A153" t="s">
        <v>502</v>
      </c>
      <c r="B153">
        <v>82.5</v>
      </c>
      <c r="C153">
        <v>19.63</v>
      </c>
      <c r="D153">
        <v>1.57</v>
      </c>
      <c r="E153">
        <v>4.5449999999999999</v>
      </c>
      <c r="F153" s="25">
        <v>0</v>
      </c>
      <c r="G153">
        <v>0.67500000000000004</v>
      </c>
      <c r="H153">
        <v>5.89</v>
      </c>
      <c r="I153">
        <v>13.51</v>
      </c>
      <c r="J153">
        <v>-1.85</v>
      </c>
      <c r="K153">
        <v>16.36</v>
      </c>
      <c r="L153">
        <v>12.67</v>
      </c>
      <c r="M153" s="25">
        <v>0.33650000000000002</v>
      </c>
      <c r="N153" s="25">
        <v>0.23150000000000001</v>
      </c>
      <c r="O153">
        <v>2.29</v>
      </c>
      <c r="P153" s="25">
        <v>5.6599999999999998E-2</v>
      </c>
      <c r="Q153" s="25">
        <v>7.9799999999999996E-2</v>
      </c>
      <c r="R153" s="26">
        <v>196.43</v>
      </c>
      <c r="S153" s="26">
        <v>121494000000</v>
      </c>
      <c r="T153">
        <v>0.57999999999999996</v>
      </c>
      <c r="U153" s="25">
        <v>6.1199999999999997E-2</v>
      </c>
    </row>
    <row r="154" spans="1:21" x14ac:dyDescent="0.25">
      <c r="A154" t="s">
        <v>381</v>
      </c>
      <c r="B154">
        <v>45.69</v>
      </c>
      <c r="C154">
        <v>10.87</v>
      </c>
      <c r="D154">
        <v>0.87</v>
      </c>
      <c r="E154">
        <v>2.5169999999999999</v>
      </c>
      <c r="F154" s="25">
        <v>4.2299999999999997E-2</v>
      </c>
      <c r="G154">
        <v>0.374</v>
      </c>
      <c r="H154">
        <v>3.26</v>
      </c>
      <c r="I154">
        <v>7.48</v>
      </c>
      <c r="J154">
        <v>-1.02</v>
      </c>
      <c r="K154">
        <v>10.33</v>
      </c>
      <c r="L154">
        <v>8</v>
      </c>
      <c r="M154" s="25">
        <v>0.33650000000000002</v>
      </c>
      <c r="N154" s="25">
        <v>0.23150000000000001</v>
      </c>
      <c r="O154">
        <v>2.29</v>
      </c>
      <c r="P154" s="25">
        <v>5.6599999999999998E-2</v>
      </c>
      <c r="Q154" s="25">
        <v>7.9799999999999996E-2</v>
      </c>
      <c r="R154" s="26">
        <v>64236000</v>
      </c>
      <c r="S154" s="26">
        <v>121494000000</v>
      </c>
      <c r="T154">
        <v>0.57999999999999996</v>
      </c>
      <c r="U154" s="25">
        <v>6.1199999999999997E-2</v>
      </c>
    </row>
    <row r="155" spans="1:21" x14ac:dyDescent="0.25">
      <c r="A155" t="s">
        <v>382</v>
      </c>
      <c r="B155">
        <v>31</v>
      </c>
      <c r="C155">
        <v>39.74</v>
      </c>
      <c r="D155">
        <v>4.53</v>
      </c>
      <c r="E155">
        <v>3.5550000000000002</v>
      </c>
      <c r="F155" s="25">
        <v>6.3E-3</v>
      </c>
      <c r="G155">
        <v>1.3939999999999999</v>
      </c>
      <c r="H155">
        <v>10.24</v>
      </c>
      <c r="I155">
        <v>13.53</v>
      </c>
      <c r="J155">
        <v>-4.49</v>
      </c>
      <c r="K155">
        <v>15.97</v>
      </c>
      <c r="L155">
        <v>11.64</v>
      </c>
      <c r="M155" s="25">
        <v>0.2626</v>
      </c>
      <c r="N155" s="25">
        <v>0.1144</v>
      </c>
      <c r="O155">
        <v>1.76</v>
      </c>
      <c r="P155" s="25">
        <v>0.13800000000000001</v>
      </c>
      <c r="Q155" s="25">
        <v>0.114</v>
      </c>
      <c r="R155" s="26">
        <v>2029660</v>
      </c>
      <c r="S155" s="26">
        <v>983781000</v>
      </c>
      <c r="T155">
        <v>1.45</v>
      </c>
      <c r="U155" s="25">
        <v>0.52680000000000005</v>
      </c>
    </row>
    <row r="156" spans="1:21" x14ac:dyDescent="0.25">
      <c r="A156" t="s">
        <v>383</v>
      </c>
      <c r="B156">
        <v>32.979999999999997</v>
      </c>
      <c r="C156">
        <v>18.29</v>
      </c>
      <c r="D156">
        <v>0.99</v>
      </c>
      <c r="E156">
        <v>1.9750000000000001</v>
      </c>
      <c r="F156" s="25">
        <v>2.5499999999999998E-2</v>
      </c>
      <c r="G156">
        <v>0.56599999999999995</v>
      </c>
      <c r="H156">
        <v>2.59</v>
      </c>
      <c r="I156">
        <v>15.43</v>
      </c>
      <c r="J156">
        <v>-4.1900000000000004</v>
      </c>
      <c r="K156">
        <v>12.06</v>
      </c>
      <c r="L156">
        <v>10.65</v>
      </c>
      <c r="M156" s="25">
        <v>0.128</v>
      </c>
      <c r="N156" s="25">
        <v>0.108</v>
      </c>
      <c r="O156">
        <v>3.91</v>
      </c>
      <c r="P156" s="25">
        <v>4.2000000000000003E-2</v>
      </c>
      <c r="Q156" s="25">
        <v>5.4100000000000002E-2</v>
      </c>
      <c r="R156" s="26">
        <v>132901</v>
      </c>
      <c r="S156" s="26">
        <v>1231320000</v>
      </c>
      <c r="T156">
        <v>0</v>
      </c>
      <c r="U156" s="25">
        <v>7.4399999999999994E-2</v>
      </c>
    </row>
    <row r="157" spans="1:21" x14ac:dyDescent="0.25">
      <c r="A157" t="s">
        <v>165</v>
      </c>
      <c r="B157">
        <v>66.44</v>
      </c>
      <c r="C157">
        <v>22.26</v>
      </c>
      <c r="D157">
        <v>2.69</v>
      </c>
      <c r="E157">
        <v>1.3160000000000001</v>
      </c>
      <c r="F157" s="25">
        <v>1.1000000000000001E-3</v>
      </c>
      <c r="G157">
        <v>0.73199999999999998</v>
      </c>
      <c r="H157">
        <v>5.63</v>
      </c>
      <c r="I157">
        <v>12.85</v>
      </c>
      <c r="J157">
        <v>-4.3600000000000003</v>
      </c>
      <c r="K157">
        <v>13.88</v>
      </c>
      <c r="L157">
        <v>10.15</v>
      </c>
      <c r="M157" s="25">
        <v>0.1024</v>
      </c>
      <c r="N157" s="25">
        <v>5.9700000000000003E-2</v>
      </c>
      <c r="O157">
        <v>1.32</v>
      </c>
      <c r="P157" s="25">
        <v>7.2900000000000006E-2</v>
      </c>
      <c r="Q157" s="25">
        <v>0.1207</v>
      </c>
      <c r="R157" s="26">
        <v>269719000</v>
      </c>
      <c r="S157" s="26">
        <v>18314200000</v>
      </c>
      <c r="T157">
        <v>0.64</v>
      </c>
      <c r="U157" s="25">
        <v>0.1338</v>
      </c>
    </row>
    <row r="158" spans="1:21" x14ac:dyDescent="0.25">
      <c r="A158" t="s">
        <v>155</v>
      </c>
      <c r="B158">
        <v>13.57</v>
      </c>
      <c r="C158">
        <v>53.82</v>
      </c>
      <c r="D158">
        <v>1.37</v>
      </c>
      <c r="E158">
        <v>1.9</v>
      </c>
      <c r="F158" s="25">
        <v>0</v>
      </c>
      <c r="G158">
        <v>0.48099999999999998</v>
      </c>
      <c r="H158">
        <v>7.02</v>
      </c>
      <c r="I158">
        <v>8.58</v>
      </c>
      <c r="J158">
        <v>-1.1299999999999999</v>
      </c>
      <c r="K158">
        <v>13.3</v>
      </c>
      <c r="L158">
        <v>8.2100000000000009</v>
      </c>
      <c r="M158" s="25">
        <v>0.2215</v>
      </c>
      <c r="N158" s="25">
        <v>6.8900000000000003E-2</v>
      </c>
      <c r="O158">
        <v>1.53</v>
      </c>
      <c r="P158" s="25">
        <v>6.3299999999999995E-2</v>
      </c>
      <c r="Q158" s="25">
        <v>2.5499999999999998E-2</v>
      </c>
      <c r="R158" s="26">
        <v>168329000</v>
      </c>
      <c r="S158" s="26">
        <v>19137700000</v>
      </c>
      <c r="T158">
        <v>1</v>
      </c>
      <c r="U158" s="25">
        <v>0.42749999999999999</v>
      </c>
    </row>
    <row r="159" spans="1:21" x14ac:dyDescent="0.25">
      <c r="A159" t="s">
        <v>384</v>
      </c>
      <c r="B159">
        <v>46.42</v>
      </c>
      <c r="C159">
        <v>5.8</v>
      </c>
      <c r="D159">
        <v>1.18</v>
      </c>
      <c r="E159">
        <v>0.622</v>
      </c>
      <c r="F159" s="25">
        <v>6.25E-2</v>
      </c>
      <c r="G159">
        <v>0.27100000000000002</v>
      </c>
      <c r="H159">
        <v>4.24</v>
      </c>
      <c r="I159">
        <v>3.38</v>
      </c>
      <c r="J159">
        <v>-0.56999999999999995</v>
      </c>
      <c r="K159">
        <v>7.85</v>
      </c>
      <c r="L159">
        <v>6</v>
      </c>
      <c r="M159" s="25">
        <v>0.18410000000000001</v>
      </c>
      <c r="N159" s="25">
        <v>0.1326</v>
      </c>
      <c r="O159">
        <v>1.38</v>
      </c>
      <c r="P159" s="25">
        <v>9.3700000000000006E-2</v>
      </c>
      <c r="Q159" s="25">
        <v>0.2036</v>
      </c>
      <c r="R159" s="26">
        <v>136950000</v>
      </c>
      <c r="S159" s="26">
        <v>17989300000</v>
      </c>
      <c r="T159">
        <v>2.04</v>
      </c>
      <c r="U159" s="25">
        <v>0.1101</v>
      </c>
    </row>
    <row r="160" spans="1:21" x14ac:dyDescent="0.25">
      <c r="A160" t="s">
        <v>385</v>
      </c>
      <c r="B160">
        <v>12.34</v>
      </c>
      <c r="C160">
        <v>7.71</v>
      </c>
      <c r="D160">
        <v>1.57</v>
      </c>
      <c r="E160">
        <v>0.82699999999999996</v>
      </c>
      <c r="F160" s="25">
        <v>4.7E-2</v>
      </c>
      <c r="G160">
        <v>0.36099999999999999</v>
      </c>
      <c r="H160">
        <v>5.64</v>
      </c>
      <c r="I160">
        <v>4.49</v>
      </c>
      <c r="J160">
        <v>-0.76</v>
      </c>
      <c r="K160">
        <v>8.9600000000000009</v>
      </c>
      <c r="L160">
        <v>6.85</v>
      </c>
      <c r="M160" s="25">
        <v>0.18410000000000001</v>
      </c>
      <c r="N160" s="25">
        <v>0.1326</v>
      </c>
      <c r="O160">
        <v>1.38</v>
      </c>
      <c r="P160" s="25">
        <v>9.3700000000000006E-2</v>
      </c>
      <c r="Q160" s="25">
        <v>0.2036</v>
      </c>
      <c r="R160" s="26">
        <v>49184.2</v>
      </c>
      <c r="S160" s="26">
        <v>17989300000</v>
      </c>
      <c r="T160">
        <v>2.04</v>
      </c>
      <c r="U160" s="25">
        <v>0.1101</v>
      </c>
    </row>
    <row r="161" spans="1:21" x14ac:dyDescent="0.25">
      <c r="A161" t="s">
        <v>166</v>
      </c>
      <c r="B161">
        <v>8.52</v>
      </c>
      <c r="C161">
        <v>5.32</v>
      </c>
      <c r="D161">
        <v>1.08</v>
      </c>
      <c r="E161">
        <v>0.57099999999999995</v>
      </c>
      <c r="F161" s="25">
        <v>6.8099999999999994E-2</v>
      </c>
      <c r="G161">
        <v>0.249</v>
      </c>
      <c r="H161">
        <v>3.89</v>
      </c>
      <c r="I161">
        <v>3.1</v>
      </c>
      <c r="J161">
        <v>-0.52</v>
      </c>
      <c r="K161">
        <v>7.57</v>
      </c>
      <c r="L161">
        <v>5.79</v>
      </c>
      <c r="M161" s="25">
        <v>0.18410000000000001</v>
      </c>
      <c r="N161" s="25">
        <v>0.1326</v>
      </c>
      <c r="O161">
        <v>1.38</v>
      </c>
      <c r="P161" s="25">
        <v>9.3700000000000006E-2</v>
      </c>
      <c r="Q161" s="25">
        <v>0.2036</v>
      </c>
      <c r="R161" s="26">
        <v>67902.2</v>
      </c>
      <c r="S161" s="26">
        <v>17989300000</v>
      </c>
      <c r="T161">
        <v>2.04</v>
      </c>
      <c r="U161" s="25">
        <v>0.1101</v>
      </c>
    </row>
    <row r="162" spans="1:21" x14ac:dyDescent="0.25">
      <c r="A162" t="s">
        <v>230</v>
      </c>
      <c r="B162">
        <v>1.2</v>
      </c>
      <c r="C162">
        <v>-11.81</v>
      </c>
      <c r="D162">
        <v>0.78</v>
      </c>
      <c r="E162">
        <v>0.93100000000000005</v>
      </c>
      <c r="F162" s="25">
        <v>0</v>
      </c>
      <c r="G162">
        <v>0.58399999999999996</v>
      </c>
      <c r="H162">
        <v>1.51</v>
      </c>
      <c r="I162">
        <v>-7.71</v>
      </c>
      <c r="J162">
        <v>1.9</v>
      </c>
      <c r="K162">
        <v>-1.54</v>
      </c>
      <c r="L162">
        <v>8.9499999999999993</v>
      </c>
      <c r="M162" s="25">
        <v>-0.1207</v>
      </c>
      <c r="N162" s="25">
        <v>-7.8799999999999995E-2</v>
      </c>
      <c r="O162">
        <v>3.2</v>
      </c>
      <c r="P162" s="25">
        <v>-0.1643</v>
      </c>
      <c r="Q162" s="25">
        <v>-6.6400000000000001E-2</v>
      </c>
      <c r="R162" s="26">
        <v>1481180</v>
      </c>
      <c r="S162" s="26">
        <v>313950000</v>
      </c>
      <c r="T162">
        <v>0</v>
      </c>
      <c r="U162" s="25">
        <v>0.34839999999999999</v>
      </c>
    </row>
    <row r="163" spans="1:21" x14ac:dyDescent="0.25">
      <c r="A163" t="s">
        <v>386</v>
      </c>
      <c r="B163">
        <v>69</v>
      </c>
      <c r="C163">
        <v>15.03</v>
      </c>
      <c r="D163">
        <v>3.76</v>
      </c>
      <c r="E163">
        <v>1.825</v>
      </c>
      <c r="F163" s="25">
        <v>5.91E-2</v>
      </c>
      <c r="G163">
        <v>1.0549999999999999</v>
      </c>
      <c r="H163">
        <v>10.69</v>
      </c>
      <c r="I163">
        <v>8.7799999999999994</v>
      </c>
      <c r="J163">
        <v>-2.38</v>
      </c>
      <c r="K163">
        <v>12.2</v>
      </c>
      <c r="L163">
        <v>10.17</v>
      </c>
      <c r="M163" s="25">
        <v>0.20780000000000001</v>
      </c>
      <c r="N163" s="25">
        <v>0.1215</v>
      </c>
      <c r="O163">
        <v>1.56</v>
      </c>
      <c r="P163" s="25">
        <v>0.14069999999999999</v>
      </c>
      <c r="Q163" s="25">
        <v>0.25009999999999999</v>
      </c>
      <c r="R163" s="26">
        <v>12021.4</v>
      </c>
      <c r="S163" s="26">
        <v>4019070000</v>
      </c>
      <c r="T163">
        <v>1.83</v>
      </c>
      <c r="U163" s="25">
        <v>9.1300000000000006E-2</v>
      </c>
    </row>
    <row r="164" spans="1:21" x14ac:dyDescent="0.25">
      <c r="A164" t="s">
        <v>387</v>
      </c>
      <c r="B164">
        <v>79.989999999999995</v>
      </c>
      <c r="C164">
        <v>17.420000000000002</v>
      </c>
      <c r="D164">
        <v>4.3600000000000003</v>
      </c>
      <c r="E164">
        <v>2.1160000000000001</v>
      </c>
      <c r="F164" s="25">
        <v>5.0999999999999997E-2</v>
      </c>
      <c r="G164">
        <v>1.224</v>
      </c>
      <c r="H164">
        <v>12.39</v>
      </c>
      <c r="I164">
        <v>10.18</v>
      </c>
      <c r="J164">
        <v>-2.76</v>
      </c>
      <c r="K164">
        <v>13.6</v>
      </c>
      <c r="L164">
        <v>11.34</v>
      </c>
      <c r="M164" s="25">
        <v>0.20780000000000001</v>
      </c>
      <c r="N164" s="25">
        <v>0.1215</v>
      </c>
      <c r="O164">
        <v>1.56</v>
      </c>
      <c r="P164" s="25">
        <v>0.14069999999999999</v>
      </c>
      <c r="Q164" s="25">
        <v>0.25009999999999999</v>
      </c>
      <c r="R164" s="26">
        <v>373.79</v>
      </c>
      <c r="S164" s="26">
        <v>4019070000</v>
      </c>
      <c r="T164">
        <v>1.83</v>
      </c>
      <c r="U164" s="25">
        <v>9.1300000000000006E-2</v>
      </c>
    </row>
    <row r="165" spans="1:21" x14ac:dyDescent="0.25">
      <c r="A165" t="s">
        <v>233</v>
      </c>
      <c r="B165">
        <v>4.91</v>
      </c>
      <c r="C165">
        <v>12.71</v>
      </c>
      <c r="D165">
        <v>1.34</v>
      </c>
      <c r="E165">
        <v>10.347</v>
      </c>
      <c r="F165" s="25">
        <v>0.37419999999999998</v>
      </c>
      <c r="G165">
        <v>1.0569999999999999</v>
      </c>
      <c r="H165">
        <v>4.55</v>
      </c>
      <c r="I165">
        <v>-11.32</v>
      </c>
      <c r="J165">
        <v>25.07</v>
      </c>
      <c r="K165">
        <v>-9.09</v>
      </c>
      <c r="L165">
        <v>-11.52</v>
      </c>
      <c r="M165" s="25">
        <v>-0.91390000000000005</v>
      </c>
      <c r="N165" s="25">
        <v>0.81379999999999997</v>
      </c>
      <c r="O165">
        <v>13.71</v>
      </c>
      <c r="P165" s="25">
        <v>-0.11840000000000001</v>
      </c>
      <c r="Q165" s="25">
        <v>0.105</v>
      </c>
      <c r="R165" s="26">
        <v>42599.3</v>
      </c>
      <c r="S165" s="26">
        <v>54645000</v>
      </c>
      <c r="T165">
        <v>0</v>
      </c>
      <c r="U165" s="25">
        <v>-0.63080000000000003</v>
      </c>
    </row>
    <row r="166" spans="1:21" x14ac:dyDescent="0.25">
      <c r="A166" t="s">
        <v>388</v>
      </c>
      <c r="B166">
        <v>26.99</v>
      </c>
      <c r="C166">
        <v>6.08</v>
      </c>
      <c r="D166">
        <v>1.05</v>
      </c>
      <c r="E166">
        <v>0.69299999999999995</v>
      </c>
      <c r="F166" s="25">
        <v>0.10150000000000001</v>
      </c>
      <c r="G166">
        <v>0.40300000000000002</v>
      </c>
      <c r="H166">
        <v>5.47</v>
      </c>
      <c r="I166">
        <v>3.37</v>
      </c>
      <c r="J166">
        <v>-1.1200000000000001</v>
      </c>
      <c r="K166">
        <v>5.75</v>
      </c>
      <c r="L166">
        <v>4.59</v>
      </c>
      <c r="M166" s="25">
        <v>0.20580000000000001</v>
      </c>
      <c r="N166" s="25">
        <v>0.1139</v>
      </c>
      <c r="O166">
        <v>1.4</v>
      </c>
      <c r="P166" s="25">
        <v>0.14169999999999999</v>
      </c>
      <c r="Q166" s="25">
        <v>0.1721</v>
      </c>
      <c r="R166" s="26">
        <v>5152.3599999999997</v>
      </c>
      <c r="S166" s="26">
        <v>4231080000</v>
      </c>
      <c r="T166">
        <v>1.02</v>
      </c>
      <c r="U166" s="25">
        <v>9.1200000000000003E-2</v>
      </c>
    </row>
    <row r="167" spans="1:21" x14ac:dyDescent="0.25">
      <c r="A167" t="s">
        <v>389</v>
      </c>
      <c r="B167">
        <v>5.62</v>
      </c>
      <c r="C167">
        <v>6.4</v>
      </c>
      <c r="D167">
        <v>2.31</v>
      </c>
      <c r="E167">
        <v>1.1120000000000001</v>
      </c>
      <c r="F167" s="25">
        <v>0.1172</v>
      </c>
      <c r="G167">
        <v>0.71799999999999997</v>
      </c>
      <c r="H167">
        <v>8.4</v>
      </c>
      <c r="I167">
        <v>4.21</v>
      </c>
      <c r="J167">
        <v>-1.99</v>
      </c>
      <c r="K167">
        <v>5.67</v>
      </c>
      <c r="L167">
        <v>4.96</v>
      </c>
      <c r="M167" s="25">
        <v>0.26429999999999998</v>
      </c>
      <c r="N167" s="25">
        <v>0.17369999999999999</v>
      </c>
      <c r="O167">
        <v>1.35</v>
      </c>
      <c r="P167" s="25">
        <v>0.21609999999999999</v>
      </c>
      <c r="Q167" s="25">
        <v>0.36009999999999998</v>
      </c>
      <c r="R167" s="26">
        <v>87971.4</v>
      </c>
      <c r="S167" s="26">
        <v>5385610000</v>
      </c>
      <c r="T167">
        <v>1.27</v>
      </c>
      <c r="U167" s="25">
        <v>0.1515</v>
      </c>
    </row>
    <row r="168" spans="1:21" x14ac:dyDescent="0.25">
      <c r="A168" t="s">
        <v>390</v>
      </c>
      <c r="B168">
        <v>7.45</v>
      </c>
      <c r="C168">
        <v>8.49</v>
      </c>
      <c r="D168">
        <v>3.06</v>
      </c>
      <c r="E168">
        <v>1.474</v>
      </c>
      <c r="F168" s="25">
        <v>8.8400000000000006E-2</v>
      </c>
      <c r="G168">
        <v>0.95099999999999996</v>
      </c>
      <c r="H168">
        <v>11.14</v>
      </c>
      <c r="I168">
        <v>5.58</v>
      </c>
      <c r="J168">
        <v>-2.64</v>
      </c>
      <c r="K168">
        <v>7.04</v>
      </c>
      <c r="L168">
        <v>6.16</v>
      </c>
      <c r="M168" s="25">
        <v>0.26429999999999998</v>
      </c>
      <c r="N168" s="25">
        <v>0.17369999999999999</v>
      </c>
      <c r="O168">
        <v>1.35</v>
      </c>
      <c r="P168" s="25">
        <v>0.21609999999999999</v>
      </c>
      <c r="Q168" s="25">
        <v>0.36009999999999998</v>
      </c>
      <c r="R168" s="26">
        <v>177.38</v>
      </c>
      <c r="S168" s="26">
        <v>5385610000</v>
      </c>
      <c r="T168">
        <v>1.27</v>
      </c>
      <c r="U168" s="25">
        <v>0.1515</v>
      </c>
    </row>
    <row r="169" spans="1:21" x14ac:dyDescent="0.25">
      <c r="A169" t="s">
        <v>3</v>
      </c>
      <c r="B169">
        <v>8.0500000000000007</v>
      </c>
      <c r="C169">
        <v>9.17</v>
      </c>
      <c r="D169">
        <v>3.3</v>
      </c>
      <c r="E169">
        <v>1.593</v>
      </c>
      <c r="F169" s="25">
        <v>8.1799999999999998E-2</v>
      </c>
      <c r="G169">
        <v>1.028</v>
      </c>
      <c r="H169">
        <v>12.04</v>
      </c>
      <c r="I169">
        <v>6.03</v>
      </c>
      <c r="J169">
        <v>-2.86</v>
      </c>
      <c r="K169">
        <v>7.49</v>
      </c>
      <c r="L169">
        <v>6.55</v>
      </c>
      <c r="M169" s="25">
        <v>0.26429999999999998</v>
      </c>
      <c r="N169" s="25">
        <v>0.17369999999999999</v>
      </c>
      <c r="O169">
        <v>1.35</v>
      </c>
      <c r="P169" s="25">
        <v>0.21609999999999999</v>
      </c>
      <c r="Q169" s="25">
        <v>0.36009999999999998</v>
      </c>
      <c r="R169" s="26">
        <v>95.83</v>
      </c>
      <c r="S169" s="26">
        <v>5385610000</v>
      </c>
      <c r="T169">
        <v>1.27</v>
      </c>
      <c r="U169" s="25">
        <v>0.1515</v>
      </c>
    </row>
    <row r="170" spans="1:21" x14ac:dyDescent="0.25">
      <c r="A170" t="s">
        <v>81</v>
      </c>
      <c r="B170">
        <v>36.4</v>
      </c>
      <c r="C170">
        <v>14.79</v>
      </c>
      <c r="D170">
        <v>1.7</v>
      </c>
      <c r="E170">
        <v>0.96799999999999997</v>
      </c>
      <c r="F170" s="25">
        <v>2.1700000000000001E-2</v>
      </c>
      <c r="G170">
        <v>0.39500000000000002</v>
      </c>
      <c r="H170">
        <v>8.86</v>
      </c>
      <c r="I170">
        <v>4.62</v>
      </c>
      <c r="J170">
        <v>-0.78</v>
      </c>
      <c r="K170">
        <v>9.06</v>
      </c>
      <c r="L170">
        <v>7.36</v>
      </c>
      <c r="M170" s="25">
        <v>0.20960000000000001</v>
      </c>
      <c r="N170" s="25">
        <v>8.2600000000000007E-2</v>
      </c>
      <c r="O170">
        <v>1.24</v>
      </c>
      <c r="P170" s="25">
        <v>9.8000000000000004E-2</v>
      </c>
      <c r="Q170" s="25">
        <v>0.1153</v>
      </c>
      <c r="R170" s="26">
        <v>289243000</v>
      </c>
      <c r="S170" s="26">
        <v>26784000000</v>
      </c>
      <c r="T170">
        <v>2.0299999999999998</v>
      </c>
      <c r="U170" s="25">
        <v>0.27089999999999997</v>
      </c>
    </row>
    <row r="171" spans="1:21" x14ac:dyDescent="0.25">
      <c r="A171" t="s">
        <v>180</v>
      </c>
      <c r="B171">
        <v>1.02</v>
      </c>
      <c r="C171">
        <v>42.36</v>
      </c>
      <c r="D171">
        <v>0.42</v>
      </c>
      <c r="E171">
        <v>0.35599999999999998</v>
      </c>
      <c r="F171" s="25">
        <v>1.6000000000000001E-3</v>
      </c>
      <c r="G171">
        <v>0.161</v>
      </c>
      <c r="H171">
        <v>1.07</v>
      </c>
      <c r="I171">
        <v>2.48</v>
      </c>
      <c r="J171">
        <v>-1</v>
      </c>
      <c r="K171">
        <v>6.77</v>
      </c>
      <c r="L171">
        <v>4.25</v>
      </c>
      <c r="M171" s="25">
        <v>0.14380000000000001</v>
      </c>
      <c r="N171" s="25">
        <v>7.9000000000000008E-3</v>
      </c>
      <c r="O171">
        <v>1.48</v>
      </c>
      <c r="P171" s="25">
        <v>7.2300000000000003E-2</v>
      </c>
      <c r="Q171" s="25">
        <v>0.01</v>
      </c>
      <c r="R171" s="26">
        <v>576807</v>
      </c>
      <c r="S171" s="26">
        <v>867856000</v>
      </c>
      <c r="T171">
        <v>0.98</v>
      </c>
      <c r="U171" s="25">
        <v>0.1706</v>
      </c>
    </row>
    <row r="172" spans="1:21" x14ac:dyDescent="0.25">
      <c r="A172" t="s">
        <v>391</v>
      </c>
      <c r="B172">
        <v>3.7</v>
      </c>
      <c r="C172">
        <v>-1.1299999999999999</v>
      </c>
      <c r="D172">
        <v>-0.05</v>
      </c>
      <c r="E172">
        <v>0.182</v>
      </c>
      <c r="F172" s="25">
        <v>0</v>
      </c>
      <c r="G172">
        <v>9.0999999999999998E-2</v>
      </c>
      <c r="H172">
        <v>-0.04</v>
      </c>
      <c r="I172">
        <v>-4.46</v>
      </c>
      <c r="J172">
        <v>-0.04</v>
      </c>
      <c r="K172">
        <v>-19.829999999999998</v>
      </c>
      <c r="L172">
        <v>-27.07</v>
      </c>
      <c r="M172" s="25">
        <v>-4.0899999999999999E-2</v>
      </c>
      <c r="N172" s="25">
        <v>-0.16170000000000001</v>
      </c>
      <c r="O172">
        <v>0.14000000000000001</v>
      </c>
      <c r="P172" s="25">
        <v>-2.18E-2</v>
      </c>
      <c r="Q172" s="25">
        <v>4.6300000000000001E-2</v>
      </c>
      <c r="R172" s="26">
        <v>519.1</v>
      </c>
      <c r="S172" s="26">
        <v>-573005000</v>
      </c>
      <c r="T172">
        <v>-0.18</v>
      </c>
      <c r="U172" s="25">
        <v>9.4000000000000004E-3</v>
      </c>
    </row>
    <row r="173" spans="1:21" x14ac:dyDescent="0.25">
      <c r="A173" t="s">
        <v>186</v>
      </c>
      <c r="B173">
        <v>4.03</v>
      </c>
      <c r="C173">
        <v>8.9600000000000009</v>
      </c>
      <c r="D173">
        <v>0.31</v>
      </c>
      <c r="E173">
        <v>0.21099999999999999</v>
      </c>
      <c r="F173" s="25">
        <v>3.1199999999999999E-2</v>
      </c>
      <c r="G173">
        <v>0.191</v>
      </c>
      <c r="H173">
        <v>1.1399999999999999</v>
      </c>
      <c r="I173">
        <v>11.8</v>
      </c>
      <c r="J173">
        <v>20.32</v>
      </c>
      <c r="K173">
        <v>17.09</v>
      </c>
      <c r="L173">
        <v>4.88</v>
      </c>
      <c r="M173" s="25">
        <v>1.7899999999999999E-2</v>
      </c>
      <c r="N173" s="25">
        <v>2.3599999999999999E-2</v>
      </c>
      <c r="O173">
        <v>1.72</v>
      </c>
      <c r="P173" s="25">
        <v>1.78E-2</v>
      </c>
      <c r="Q173" s="25">
        <v>3.49E-2</v>
      </c>
      <c r="R173" s="26">
        <v>372311</v>
      </c>
      <c r="S173" s="26">
        <v>795309000</v>
      </c>
      <c r="T173">
        <v>0.17</v>
      </c>
      <c r="U173" s="25">
        <v>6.88E-2</v>
      </c>
    </row>
    <row r="174" spans="1:21" x14ac:dyDescent="0.25">
      <c r="A174" t="s">
        <v>392</v>
      </c>
      <c r="B174">
        <v>21</v>
      </c>
      <c r="C174">
        <v>8.08</v>
      </c>
      <c r="D174">
        <v>0.73</v>
      </c>
      <c r="E174">
        <v>0.65700000000000003</v>
      </c>
      <c r="F174" s="25">
        <v>3.1800000000000002E-2</v>
      </c>
      <c r="G174">
        <v>0.40100000000000002</v>
      </c>
      <c r="H174">
        <v>1.97</v>
      </c>
      <c r="I174">
        <v>4.4800000000000004</v>
      </c>
      <c r="J174">
        <v>-6.81</v>
      </c>
      <c r="K174">
        <v>5.82</v>
      </c>
      <c r="L174">
        <v>3.84</v>
      </c>
      <c r="M174" s="25">
        <v>0.1467</v>
      </c>
      <c r="N174" s="25">
        <v>8.1299999999999997E-2</v>
      </c>
      <c r="O174">
        <v>2.06</v>
      </c>
      <c r="P174" s="25">
        <v>0.10580000000000001</v>
      </c>
      <c r="Q174" s="25">
        <v>9.0700000000000003E-2</v>
      </c>
      <c r="R174" s="26">
        <v>19754.5</v>
      </c>
      <c r="S174" s="26">
        <v>2652920000</v>
      </c>
      <c r="T174">
        <v>0.4</v>
      </c>
      <c r="U174" s="25">
        <v>9.1399999999999995E-2</v>
      </c>
    </row>
    <row r="175" spans="1:21" x14ac:dyDescent="0.25">
      <c r="A175" t="s">
        <v>11</v>
      </c>
      <c r="B175">
        <v>18.399999999999999</v>
      </c>
      <c r="C175">
        <v>7.08</v>
      </c>
      <c r="D175">
        <v>0.64</v>
      </c>
      <c r="E175">
        <v>0.57499999999999996</v>
      </c>
      <c r="F175" s="25">
        <v>0.04</v>
      </c>
      <c r="G175">
        <v>0.35099999999999998</v>
      </c>
      <c r="H175">
        <v>1.73</v>
      </c>
      <c r="I175">
        <v>3.92</v>
      </c>
      <c r="J175">
        <v>-5.97</v>
      </c>
      <c r="K175">
        <v>5.27</v>
      </c>
      <c r="L175">
        <v>3.48</v>
      </c>
      <c r="M175" s="25">
        <v>0.1467</v>
      </c>
      <c r="N175" s="25">
        <v>8.1299999999999997E-2</v>
      </c>
      <c r="O175">
        <v>2.06</v>
      </c>
      <c r="P175" s="25">
        <v>0.10580000000000001</v>
      </c>
      <c r="Q175" s="25">
        <v>9.0700000000000003E-2</v>
      </c>
      <c r="R175" s="26">
        <v>1138150</v>
      </c>
      <c r="S175" s="26">
        <v>2652920000</v>
      </c>
      <c r="T175">
        <v>0.4</v>
      </c>
      <c r="U175" s="25">
        <v>9.1399999999999995E-2</v>
      </c>
    </row>
    <row r="176" spans="1:21" x14ac:dyDescent="0.25">
      <c r="A176" t="s">
        <v>122</v>
      </c>
      <c r="B176">
        <v>7.11</v>
      </c>
      <c r="C176">
        <v>45.76</v>
      </c>
      <c r="D176">
        <v>0.75</v>
      </c>
      <c r="E176">
        <v>0.77100000000000002</v>
      </c>
      <c r="F176" s="25">
        <v>5.6300000000000003E-2</v>
      </c>
      <c r="G176">
        <v>0.27600000000000002</v>
      </c>
      <c r="H176">
        <v>0.44</v>
      </c>
      <c r="I176">
        <v>4.87</v>
      </c>
      <c r="J176">
        <v>1.17</v>
      </c>
      <c r="K176">
        <v>5.72</v>
      </c>
      <c r="L176">
        <v>5.65</v>
      </c>
      <c r="M176" s="25">
        <v>0.15820000000000001</v>
      </c>
      <c r="N176" s="25">
        <v>5.6500000000000002E-2</v>
      </c>
      <c r="O176">
        <v>4.38</v>
      </c>
      <c r="P176" s="25">
        <v>6.93E-2</v>
      </c>
      <c r="Q176" s="25">
        <v>1.6500000000000001E-2</v>
      </c>
      <c r="R176" s="26">
        <v>6244090</v>
      </c>
      <c r="S176" s="26">
        <v>1885180000</v>
      </c>
      <c r="T176">
        <v>0.59</v>
      </c>
      <c r="U176" s="25">
        <v>2.75E-2</v>
      </c>
    </row>
    <row r="177" spans="1:21" x14ac:dyDescent="0.25">
      <c r="A177" t="s">
        <v>90</v>
      </c>
      <c r="B177">
        <v>13.29</v>
      </c>
      <c r="C177">
        <v>6.64</v>
      </c>
      <c r="D177">
        <v>0.6</v>
      </c>
      <c r="E177">
        <v>1.7989999999999999</v>
      </c>
      <c r="F177" s="25">
        <v>8.7999999999999995E-2</v>
      </c>
      <c r="G177">
        <v>0.42199999999999999</v>
      </c>
      <c r="H177">
        <v>1.1100000000000001</v>
      </c>
      <c r="I177">
        <v>9.58</v>
      </c>
      <c r="J177">
        <v>2.76</v>
      </c>
      <c r="K177">
        <v>10.87</v>
      </c>
      <c r="L177">
        <v>10.01</v>
      </c>
      <c r="M177" s="25">
        <v>0.18779999999999999</v>
      </c>
      <c r="N177" s="25">
        <v>0.28749999999999998</v>
      </c>
      <c r="O177">
        <v>7.71</v>
      </c>
      <c r="P177" s="25">
        <v>5.3499999999999999E-2</v>
      </c>
      <c r="Q177" s="25">
        <v>9.0200000000000002E-2</v>
      </c>
      <c r="R177" s="26">
        <v>22082500</v>
      </c>
      <c r="S177" s="26">
        <v>4898440000</v>
      </c>
      <c r="T177">
        <v>0.32</v>
      </c>
      <c r="U177" s="25">
        <v>0.1333</v>
      </c>
    </row>
    <row r="178" spans="1:21" x14ac:dyDescent="0.25">
      <c r="A178" t="s">
        <v>393</v>
      </c>
      <c r="B178">
        <v>12.35</v>
      </c>
      <c r="C178">
        <v>14.05</v>
      </c>
      <c r="D178">
        <v>1.3</v>
      </c>
      <c r="E178">
        <v>1.9159999999999999</v>
      </c>
      <c r="F178" s="25">
        <v>3.6799999999999999E-2</v>
      </c>
      <c r="G178">
        <v>1.006</v>
      </c>
      <c r="H178">
        <v>3.86</v>
      </c>
      <c r="I178">
        <v>21.06</v>
      </c>
      <c r="J178">
        <v>6.21</v>
      </c>
      <c r="K178">
        <v>18.71</v>
      </c>
      <c r="L178">
        <v>8.14</v>
      </c>
      <c r="M178" s="25">
        <v>9.0999999999999998E-2</v>
      </c>
      <c r="N178" s="25">
        <v>0.13650000000000001</v>
      </c>
      <c r="O178">
        <v>3.09</v>
      </c>
      <c r="P178" s="25">
        <v>6.1600000000000002E-2</v>
      </c>
      <c r="Q178" s="25">
        <v>9.2299999999999993E-2</v>
      </c>
      <c r="R178" s="26">
        <v>3248.67</v>
      </c>
      <c r="S178" s="26">
        <v>3363440000</v>
      </c>
      <c r="T178">
        <v>0.1</v>
      </c>
      <c r="U178" s="25">
        <v>3.2500000000000001E-2</v>
      </c>
    </row>
    <row r="179" spans="1:21" x14ac:dyDescent="0.25">
      <c r="A179" t="s">
        <v>252</v>
      </c>
      <c r="B179">
        <v>7.02</v>
      </c>
      <c r="C179">
        <v>7.98</v>
      </c>
      <c r="D179">
        <v>0.74</v>
      </c>
      <c r="E179">
        <v>1.089</v>
      </c>
      <c r="F179" s="25">
        <v>7.1300000000000002E-2</v>
      </c>
      <c r="G179">
        <v>0.57199999999999995</v>
      </c>
      <c r="H179">
        <v>2.19</v>
      </c>
      <c r="I179">
        <v>11.97</v>
      </c>
      <c r="J179">
        <v>3.53</v>
      </c>
      <c r="K179">
        <v>9.6199999999999992</v>
      </c>
      <c r="L179">
        <v>4.1900000000000004</v>
      </c>
      <c r="M179" s="25">
        <v>9.0999999999999998E-2</v>
      </c>
      <c r="N179" s="25">
        <v>0.13650000000000001</v>
      </c>
      <c r="O179">
        <v>3.09</v>
      </c>
      <c r="P179" s="25">
        <v>6.1600000000000002E-2</v>
      </c>
      <c r="Q179" s="25">
        <v>9.2299999999999993E-2</v>
      </c>
      <c r="R179" s="26">
        <v>3890210</v>
      </c>
      <c r="S179" s="26">
        <v>3363440000</v>
      </c>
      <c r="T179">
        <v>0.1</v>
      </c>
      <c r="U179" s="25">
        <v>3.2500000000000001E-2</v>
      </c>
    </row>
    <row r="180" spans="1:21" x14ac:dyDescent="0.25">
      <c r="A180" t="s">
        <v>227</v>
      </c>
      <c r="B180">
        <v>3.93</v>
      </c>
      <c r="C180">
        <v>-0.22</v>
      </c>
      <c r="D180">
        <v>-0.19</v>
      </c>
      <c r="E180">
        <v>4.7E-2</v>
      </c>
      <c r="F180" s="25">
        <v>0</v>
      </c>
      <c r="G180">
        <v>7.2999999999999995E-2</v>
      </c>
      <c r="H180">
        <v>-0.51</v>
      </c>
      <c r="I180">
        <v>-1.01</v>
      </c>
      <c r="J180">
        <v>-0.11</v>
      </c>
      <c r="K180">
        <v>-7.0000000000000007E-2</v>
      </c>
      <c r="L180">
        <v>-0.09</v>
      </c>
      <c r="M180" s="25">
        <v>-4.6100000000000002E-2</v>
      </c>
      <c r="N180" s="25">
        <v>-0.20930000000000001</v>
      </c>
      <c r="O180">
        <v>0.83</v>
      </c>
      <c r="P180" s="25">
        <v>-0.39689999999999998</v>
      </c>
      <c r="Q180" s="25">
        <v>0.87439999999999996</v>
      </c>
      <c r="R180" s="26">
        <v>228503</v>
      </c>
      <c r="S180" s="26">
        <v>-1087650000</v>
      </c>
      <c r="T180">
        <v>-0.02</v>
      </c>
      <c r="U180" s="25">
        <v>0.1242</v>
      </c>
    </row>
    <row r="181" spans="1:21" x14ac:dyDescent="0.25">
      <c r="A181" t="s">
        <v>394</v>
      </c>
      <c r="B181">
        <v>3.59</v>
      </c>
      <c r="C181">
        <v>-3.5</v>
      </c>
      <c r="D181">
        <v>-9.39</v>
      </c>
      <c r="E181">
        <v>-7.0839999999999996</v>
      </c>
      <c r="F181" s="25">
        <v>0</v>
      </c>
      <c r="G181">
        <v>19.225999999999999</v>
      </c>
      <c r="H181">
        <v>-65.790000000000006</v>
      </c>
      <c r="I181">
        <v>-17.12</v>
      </c>
      <c r="J181">
        <v>-6.33</v>
      </c>
      <c r="K181">
        <v>-17.989999999999998</v>
      </c>
      <c r="L181">
        <v>-17.16</v>
      </c>
      <c r="M181" s="25">
        <v>0.41389999999999999</v>
      </c>
      <c r="N181" s="25">
        <v>2.0249999999999999</v>
      </c>
      <c r="O181">
        <v>0.03</v>
      </c>
      <c r="P181" s="25">
        <v>-1.1304000000000001</v>
      </c>
      <c r="Q181" s="25">
        <v>2.6833999999999998</v>
      </c>
      <c r="R181" s="26">
        <v>115181</v>
      </c>
      <c r="S181" s="26">
        <v>-9103000</v>
      </c>
      <c r="T181">
        <v>-0.48</v>
      </c>
      <c r="U181" s="25">
        <v>-0.1394</v>
      </c>
    </row>
    <row r="182" spans="1:21" x14ac:dyDescent="0.25">
      <c r="A182" t="s">
        <v>395</v>
      </c>
      <c r="B182">
        <v>11.97</v>
      </c>
      <c r="C182">
        <v>-45.58</v>
      </c>
      <c r="D182">
        <v>0.36</v>
      </c>
      <c r="E182">
        <v>11.564</v>
      </c>
      <c r="F182" s="25">
        <v>0</v>
      </c>
      <c r="G182">
        <v>0.27500000000000002</v>
      </c>
      <c r="H182">
        <v>2.69</v>
      </c>
      <c r="I182">
        <v>-4.8899999999999997</v>
      </c>
      <c r="J182">
        <v>-5.9</v>
      </c>
      <c r="K182">
        <v>-6.77</v>
      </c>
      <c r="L182">
        <v>-7.2</v>
      </c>
      <c r="M182" s="25">
        <v>-2.3645999999999998</v>
      </c>
      <c r="N182" s="25">
        <v>-0.25490000000000002</v>
      </c>
      <c r="O182">
        <v>2.0499999999999998</v>
      </c>
      <c r="P182" s="25">
        <v>-5.9299999999999999E-2</v>
      </c>
      <c r="Q182" s="25">
        <v>-8.0000000000000002E-3</v>
      </c>
      <c r="R182" s="26">
        <v>33961.800000000003</v>
      </c>
      <c r="S182" s="26">
        <v>79440000</v>
      </c>
      <c r="T182">
        <v>0.15</v>
      </c>
      <c r="U182" s="25">
        <v>-2.1299999999999999E-2</v>
      </c>
    </row>
    <row r="183" spans="1:21" x14ac:dyDescent="0.25">
      <c r="A183" t="s">
        <v>396</v>
      </c>
      <c r="B183">
        <v>3.85</v>
      </c>
      <c r="C183">
        <v>8.01</v>
      </c>
      <c r="D183">
        <v>1.1399999999999999</v>
      </c>
      <c r="E183">
        <v>1.333</v>
      </c>
      <c r="F183" s="25">
        <v>6.6199999999999995E-2</v>
      </c>
      <c r="G183">
        <v>0.60099999999999998</v>
      </c>
      <c r="H183">
        <v>6.07</v>
      </c>
      <c r="I183">
        <v>5.56</v>
      </c>
      <c r="J183">
        <v>-3.1</v>
      </c>
      <c r="K183">
        <v>6.19</v>
      </c>
      <c r="L183">
        <v>3.15</v>
      </c>
      <c r="M183" s="25">
        <v>0.23960000000000001</v>
      </c>
      <c r="N183" s="25">
        <v>0.16639999999999999</v>
      </c>
      <c r="O183">
        <v>1.55</v>
      </c>
      <c r="P183" s="25">
        <v>0.1351</v>
      </c>
      <c r="Q183" s="25">
        <v>0.14269999999999999</v>
      </c>
      <c r="R183" s="26">
        <v>1436000</v>
      </c>
      <c r="S183" s="26">
        <v>1220080000</v>
      </c>
      <c r="T183">
        <v>0.47</v>
      </c>
      <c r="U183" s="25">
        <v>0.2616</v>
      </c>
    </row>
    <row r="184" spans="1:21" x14ac:dyDescent="0.25">
      <c r="A184" t="s">
        <v>51</v>
      </c>
      <c r="B184">
        <v>13.02</v>
      </c>
      <c r="C184">
        <v>11.35</v>
      </c>
      <c r="D184">
        <v>1.36</v>
      </c>
      <c r="E184">
        <v>0.91400000000000003</v>
      </c>
      <c r="F184" s="25">
        <v>7.8100000000000003E-2</v>
      </c>
      <c r="G184">
        <v>0.53700000000000003</v>
      </c>
      <c r="H184">
        <v>2.71</v>
      </c>
      <c r="I184">
        <v>5.93</v>
      </c>
      <c r="J184">
        <v>-2.17</v>
      </c>
      <c r="K184">
        <v>8.4600000000000009</v>
      </c>
      <c r="L184">
        <v>5.07</v>
      </c>
      <c r="M184" s="25">
        <v>0.154</v>
      </c>
      <c r="N184" s="25">
        <v>7.8399999999999997E-2</v>
      </c>
      <c r="O184">
        <v>2.29</v>
      </c>
      <c r="P184" s="25">
        <v>0.11849999999999999</v>
      </c>
      <c r="Q184" s="25">
        <v>0.1201</v>
      </c>
      <c r="R184" s="26">
        <v>37153900</v>
      </c>
      <c r="S184" s="26">
        <v>5226800000</v>
      </c>
      <c r="T184">
        <v>1.05</v>
      </c>
      <c r="U184" s="25">
        <v>0.26790000000000003</v>
      </c>
    </row>
    <row r="185" spans="1:21" x14ac:dyDescent="0.25">
      <c r="A185" t="s">
        <v>65</v>
      </c>
      <c r="B185">
        <v>27.03</v>
      </c>
      <c r="C185">
        <v>22.26</v>
      </c>
      <c r="D185">
        <v>3.42</v>
      </c>
      <c r="E185">
        <v>1.6379999999999999</v>
      </c>
      <c r="F185" s="25">
        <v>1.9199999999999998E-2</v>
      </c>
      <c r="G185">
        <v>1.0840000000000001</v>
      </c>
      <c r="H185">
        <v>4.09</v>
      </c>
      <c r="I185">
        <v>11.03</v>
      </c>
      <c r="J185">
        <v>-5.67</v>
      </c>
      <c r="K185">
        <v>14.08</v>
      </c>
      <c r="L185">
        <v>10.94</v>
      </c>
      <c r="M185" s="25">
        <v>0.14849999999999999</v>
      </c>
      <c r="N185" s="25">
        <v>7.5300000000000006E-2</v>
      </c>
      <c r="O185">
        <v>2.19</v>
      </c>
      <c r="P185" s="25">
        <v>0.123</v>
      </c>
      <c r="Q185" s="25">
        <v>0.15379999999999999</v>
      </c>
      <c r="R185" s="26">
        <v>10795200</v>
      </c>
      <c r="S185" s="26">
        <v>2131360000</v>
      </c>
      <c r="T185">
        <v>1.28</v>
      </c>
      <c r="U185" s="25">
        <v>0.2069</v>
      </c>
    </row>
    <row r="186" spans="1:21" x14ac:dyDescent="0.25">
      <c r="A186" t="s">
        <v>397</v>
      </c>
      <c r="B186">
        <v>279.98</v>
      </c>
      <c r="C186">
        <v>-78.44</v>
      </c>
      <c r="D186">
        <v>5.37</v>
      </c>
      <c r="E186">
        <v>0.76600000000000001</v>
      </c>
      <c r="F186" s="25">
        <v>0</v>
      </c>
      <c r="G186">
        <v>0.91200000000000003</v>
      </c>
      <c r="H186">
        <v>7.1</v>
      </c>
      <c r="I186">
        <v>19.47</v>
      </c>
      <c r="J186">
        <v>-8.7799999999999994</v>
      </c>
      <c r="K186">
        <v>27.34</v>
      </c>
      <c r="L186">
        <v>15.08</v>
      </c>
      <c r="M186" s="25">
        <v>3.9300000000000002E-2</v>
      </c>
      <c r="N186" s="25">
        <v>-1.43E-2</v>
      </c>
      <c r="O186">
        <v>1.23</v>
      </c>
      <c r="P186" s="25">
        <v>6.7299999999999999E-2</v>
      </c>
      <c r="Q186" s="25">
        <v>-6.8400000000000002E-2</v>
      </c>
      <c r="R186" s="26">
        <v>7288</v>
      </c>
      <c r="S186" s="26">
        <v>327983000</v>
      </c>
      <c r="T186">
        <v>2.5</v>
      </c>
      <c r="U186" s="25">
        <v>7.6799999999999993E-2</v>
      </c>
    </row>
    <row r="187" spans="1:21" x14ac:dyDescent="0.25">
      <c r="A187" t="s">
        <v>398</v>
      </c>
      <c r="B187">
        <v>36</v>
      </c>
      <c r="C187">
        <v>35</v>
      </c>
      <c r="D187">
        <v>2.0099999999999998</v>
      </c>
      <c r="E187">
        <v>9.7309999999999999</v>
      </c>
      <c r="F187" s="25">
        <v>0.1948</v>
      </c>
      <c r="G187">
        <v>0.96699999999999997</v>
      </c>
      <c r="H187">
        <v>-9.1199999999999992</v>
      </c>
      <c r="I187">
        <v>20.57</v>
      </c>
      <c r="J187">
        <v>-2.88</v>
      </c>
      <c r="K187">
        <v>21.72</v>
      </c>
      <c r="L187">
        <v>15.43</v>
      </c>
      <c r="M187" s="25">
        <v>0.47299999999999998</v>
      </c>
      <c r="N187" s="25">
        <v>0.27810000000000001</v>
      </c>
      <c r="O187">
        <v>0.63</v>
      </c>
      <c r="P187" s="25">
        <v>6.2899999999999998E-2</v>
      </c>
      <c r="Q187" s="25">
        <v>5.74E-2</v>
      </c>
      <c r="R187" s="26">
        <v>4348.05</v>
      </c>
      <c r="S187" s="26">
        <v>1691660000</v>
      </c>
      <c r="T187">
        <v>0.37</v>
      </c>
      <c r="U187" s="25">
        <v>-0.25559999999999999</v>
      </c>
    </row>
    <row r="188" spans="1:21" x14ac:dyDescent="0.25">
      <c r="A188" t="s">
        <v>399</v>
      </c>
      <c r="B188">
        <v>35.32</v>
      </c>
      <c r="C188">
        <v>34.340000000000003</v>
      </c>
      <c r="D188">
        <v>1.97</v>
      </c>
      <c r="E188">
        <v>9.5470000000000006</v>
      </c>
      <c r="F188" s="25">
        <v>0.1986</v>
      </c>
      <c r="G188">
        <v>0.94799999999999995</v>
      </c>
      <c r="H188">
        <v>-8.9499999999999993</v>
      </c>
      <c r="I188">
        <v>20.18</v>
      </c>
      <c r="J188">
        <v>-2.82</v>
      </c>
      <c r="K188">
        <v>21.33</v>
      </c>
      <c r="L188">
        <v>15.15</v>
      </c>
      <c r="M188" s="25">
        <v>0.47299999999999998</v>
      </c>
      <c r="N188" s="25">
        <v>0.27810000000000001</v>
      </c>
      <c r="O188">
        <v>0.63</v>
      </c>
      <c r="P188" s="25">
        <v>6.2899999999999998E-2</v>
      </c>
      <c r="Q188" s="25">
        <v>5.74E-2</v>
      </c>
      <c r="R188" s="26">
        <v>15002</v>
      </c>
      <c r="S188" s="26">
        <v>1691660000</v>
      </c>
      <c r="T188">
        <v>0.37</v>
      </c>
      <c r="U188" s="25">
        <v>-0.25559999999999999</v>
      </c>
    </row>
    <row r="189" spans="1:21" x14ac:dyDescent="0.25">
      <c r="A189" t="s">
        <v>228</v>
      </c>
      <c r="B189">
        <v>1.24</v>
      </c>
      <c r="C189">
        <v>-4.25</v>
      </c>
      <c r="D189">
        <v>0.08</v>
      </c>
      <c r="E189">
        <v>0.16900000000000001</v>
      </c>
      <c r="F189" s="25">
        <v>0</v>
      </c>
      <c r="G189">
        <v>3.4000000000000002E-2</v>
      </c>
      <c r="H189">
        <v>0.14000000000000001</v>
      </c>
      <c r="I189">
        <v>-0.86</v>
      </c>
      <c r="J189">
        <v>-3.62</v>
      </c>
      <c r="K189">
        <v>-7.81</v>
      </c>
      <c r="L189">
        <v>-8.4499999999999993</v>
      </c>
      <c r="M189" s="25">
        <v>-0.1966</v>
      </c>
      <c r="N189" s="25">
        <v>-0.04</v>
      </c>
      <c r="O189">
        <v>1.67</v>
      </c>
      <c r="P189" s="25">
        <v>-4.1599999999999998E-2</v>
      </c>
      <c r="Q189" s="25">
        <v>-1.9699999999999999E-2</v>
      </c>
      <c r="R189" s="26">
        <v>8055410</v>
      </c>
      <c r="S189" s="26">
        <v>1995250000</v>
      </c>
      <c r="T189">
        <v>0.75</v>
      </c>
      <c r="U189" s="25">
        <v>2.4199999999999999E-2</v>
      </c>
    </row>
    <row r="190" spans="1:21" x14ac:dyDescent="0.25">
      <c r="A190" t="s">
        <v>33</v>
      </c>
      <c r="B190">
        <v>14.96</v>
      </c>
      <c r="C190">
        <v>9.27</v>
      </c>
      <c r="D190">
        <v>0.54</v>
      </c>
      <c r="E190">
        <v>0.44500000000000001</v>
      </c>
      <c r="F190" s="25">
        <v>4.4200000000000003E-2</v>
      </c>
      <c r="G190">
        <v>0.35499999999999998</v>
      </c>
      <c r="H190">
        <v>1.52</v>
      </c>
      <c r="I190">
        <v>4.6500000000000004</v>
      </c>
      <c r="J190">
        <v>10.69</v>
      </c>
      <c r="K190">
        <v>5.82</v>
      </c>
      <c r="L190">
        <v>3.88</v>
      </c>
      <c r="M190" s="25">
        <v>9.5600000000000004E-2</v>
      </c>
      <c r="N190" s="25">
        <v>4.8500000000000001E-2</v>
      </c>
      <c r="O190">
        <v>2.64</v>
      </c>
      <c r="P190" s="25">
        <v>9.0200000000000002E-2</v>
      </c>
      <c r="Q190" s="25">
        <v>5.8400000000000001E-2</v>
      </c>
      <c r="R190" s="26">
        <v>692825</v>
      </c>
      <c r="S190" s="26">
        <v>56017100000</v>
      </c>
      <c r="T190">
        <v>0.26</v>
      </c>
      <c r="U190" s="25">
        <v>3.73E-2</v>
      </c>
    </row>
    <row r="191" spans="1:21" x14ac:dyDescent="0.25">
      <c r="A191" t="s">
        <v>48</v>
      </c>
      <c r="B191">
        <v>16.760000000000002</v>
      </c>
      <c r="C191">
        <v>10.39</v>
      </c>
      <c r="D191">
        <v>0.61</v>
      </c>
      <c r="E191">
        <v>0.498</v>
      </c>
      <c r="F191" s="25">
        <v>3.9399999999999998E-2</v>
      </c>
      <c r="G191">
        <v>0.39700000000000002</v>
      </c>
      <c r="H191">
        <v>1.7</v>
      </c>
      <c r="I191">
        <v>5.21</v>
      </c>
      <c r="J191">
        <v>11.98</v>
      </c>
      <c r="K191">
        <v>6.38</v>
      </c>
      <c r="L191">
        <v>4.25</v>
      </c>
      <c r="M191" s="25">
        <v>9.5600000000000004E-2</v>
      </c>
      <c r="N191" s="25">
        <v>4.8500000000000001E-2</v>
      </c>
      <c r="O191">
        <v>2.64</v>
      </c>
      <c r="P191" s="25">
        <v>9.0200000000000002E-2</v>
      </c>
      <c r="Q191" s="25">
        <v>5.8400000000000001E-2</v>
      </c>
      <c r="R191" s="26">
        <v>193478000</v>
      </c>
      <c r="S191" s="26">
        <v>56017100000</v>
      </c>
      <c r="T191">
        <v>0.26</v>
      </c>
      <c r="U191" s="25">
        <v>3.73E-2</v>
      </c>
    </row>
    <row r="192" spans="1:21" x14ac:dyDescent="0.25">
      <c r="A192" t="s">
        <v>99</v>
      </c>
      <c r="B192">
        <v>14.85</v>
      </c>
      <c r="C192">
        <v>15.1</v>
      </c>
      <c r="D192">
        <v>2.74</v>
      </c>
      <c r="E192">
        <v>0.63600000000000001</v>
      </c>
      <c r="F192" s="25">
        <v>2.1700000000000001E-2</v>
      </c>
      <c r="G192">
        <v>0.69399999999999995</v>
      </c>
      <c r="H192">
        <v>2.29</v>
      </c>
      <c r="I192">
        <v>8.35</v>
      </c>
      <c r="J192">
        <v>-3.22</v>
      </c>
      <c r="K192">
        <v>10</v>
      </c>
      <c r="L192">
        <v>7.42</v>
      </c>
      <c r="M192" s="25">
        <v>7.6200000000000004E-2</v>
      </c>
      <c r="N192" s="25">
        <v>4.2700000000000002E-2</v>
      </c>
      <c r="O192">
        <v>2.34</v>
      </c>
      <c r="P192" s="25">
        <v>0.1101</v>
      </c>
      <c r="Q192" s="25">
        <v>0.18149999999999999</v>
      </c>
      <c r="R192" s="26">
        <v>56167600</v>
      </c>
      <c r="S192" s="26">
        <v>3670500000</v>
      </c>
      <c r="T192">
        <v>1.38</v>
      </c>
      <c r="U192" s="25">
        <v>0.28439999999999999</v>
      </c>
    </row>
    <row r="193" spans="1:21" x14ac:dyDescent="0.25">
      <c r="A193" t="s">
        <v>139</v>
      </c>
      <c r="B193">
        <v>7.78</v>
      </c>
      <c r="C193">
        <v>12.54</v>
      </c>
      <c r="D193">
        <v>1.75</v>
      </c>
      <c r="E193">
        <v>0.53</v>
      </c>
      <c r="F193" s="25">
        <v>2.6700000000000002E-2</v>
      </c>
      <c r="G193">
        <v>0.87</v>
      </c>
      <c r="H193">
        <v>2.38</v>
      </c>
      <c r="I193">
        <v>7.82</v>
      </c>
      <c r="J193">
        <v>6.74</v>
      </c>
      <c r="K193">
        <v>8.09</v>
      </c>
      <c r="L193">
        <v>6.93</v>
      </c>
      <c r="M193" s="25">
        <v>6.7699999999999996E-2</v>
      </c>
      <c r="N193" s="25">
        <v>4.2799999999999998E-2</v>
      </c>
      <c r="O193">
        <v>2.4</v>
      </c>
      <c r="P193" s="25">
        <v>0.1507</v>
      </c>
      <c r="Q193" s="25">
        <v>0.13930000000000001</v>
      </c>
      <c r="R193" s="26">
        <v>26301800</v>
      </c>
      <c r="S193" s="26">
        <v>10013600000</v>
      </c>
      <c r="T193">
        <v>0.21</v>
      </c>
      <c r="U193" s="25">
        <v>0.26050000000000001</v>
      </c>
    </row>
    <row r="194" spans="1:21" x14ac:dyDescent="0.25">
      <c r="A194" t="s">
        <v>43</v>
      </c>
      <c r="B194">
        <v>9.2200000000000006</v>
      </c>
      <c r="C194">
        <v>8.1999999999999993</v>
      </c>
      <c r="D194">
        <v>0.47</v>
      </c>
      <c r="E194">
        <v>0.13400000000000001</v>
      </c>
      <c r="F194" s="25">
        <v>3.7900000000000003E-2</v>
      </c>
      <c r="G194">
        <v>0.107</v>
      </c>
      <c r="H194">
        <v>0.46</v>
      </c>
      <c r="I194">
        <v>1.41</v>
      </c>
      <c r="J194">
        <v>3.17</v>
      </c>
      <c r="K194">
        <v>2.58</v>
      </c>
      <c r="L194">
        <v>1.72</v>
      </c>
      <c r="M194" s="25">
        <v>9.5399999999999999E-2</v>
      </c>
      <c r="N194" s="25">
        <v>4.8599999999999997E-2</v>
      </c>
      <c r="O194">
        <v>2.64</v>
      </c>
      <c r="P194" s="25">
        <v>0.09</v>
      </c>
      <c r="Q194" s="25">
        <v>5.74E-2</v>
      </c>
      <c r="R194" s="26">
        <v>290344</v>
      </c>
      <c r="S194" s="26">
        <v>19459900000</v>
      </c>
      <c r="T194">
        <v>0.75</v>
      </c>
      <c r="U194" s="25">
        <v>3.73E-2</v>
      </c>
    </row>
    <row r="195" spans="1:21" x14ac:dyDescent="0.25">
      <c r="A195" t="s">
        <v>133</v>
      </c>
      <c r="B195">
        <v>9.19</v>
      </c>
      <c r="C195">
        <v>8.18</v>
      </c>
      <c r="D195">
        <v>0.47</v>
      </c>
      <c r="E195">
        <v>0.13400000000000001</v>
      </c>
      <c r="F195" s="25">
        <v>3.8100000000000002E-2</v>
      </c>
      <c r="G195">
        <v>0.107</v>
      </c>
      <c r="H195">
        <v>0.46</v>
      </c>
      <c r="I195">
        <v>1.4</v>
      </c>
      <c r="J195">
        <v>3.16</v>
      </c>
      <c r="K195">
        <v>2.57</v>
      </c>
      <c r="L195">
        <v>1.71</v>
      </c>
      <c r="M195" s="25">
        <v>9.5399999999999999E-2</v>
      </c>
      <c r="N195" s="25">
        <v>4.8599999999999997E-2</v>
      </c>
      <c r="O195">
        <v>2.64</v>
      </c>
      <c r="P195" s="25">
        <v>0.09</v>
      </c>
      <c r="Q195" s="25">
        <v>5.74E-2</v>
      </c>
      <c r="R195" s="26">
        <v>83470000</v>
      </c>
      <c r="S195" s="26">
        <v>19459900000</v>
      </c>
      <c r="T195">
        <v>0.75</v>
      </c>
      <c r="U195" s="25">
        <v>3.73E-2</v>
      </c>
    </row>
    <row r="196" spans="1:21" x14ac:dyDescent="0.25">
      <c r="A196" t="s">
        <v>250</v>
      </c>
      <c r="B196">
        <v>0.79</v>
      </c>
      <c r="C196">
        <v>-112.13</v>
      </c>
      <c r="D196">
        <v>-34.340000000000003</v>
      </c>
      <c r="E196">
        <v>47.427</v>
      </c>
      <c r="F196" s="25">
        <v>0</v>
      </c>
      <c r="G196">
        <v>40.497999999999998</v>
      </c>
      <c r="H196">
        <v>-49.36</v>
      </c>
      <c r="I196" s="26">
        <v>-1785.15</v>
      </c>
      <c r="J196">
        <v>-21.29</v>
      </c>
      <c r="K196" s="26">
        <v>-1822.83</v>
      </c>
      <c r="L196">
        <v>595.66</v>
      </c>
      <c r="M196" s="25">
        <v>-2.6599999999999999E-2</v>
      </c>
      <c r="N196" s="25">
        <v>-0.42299999999999999</v>
      </c>
      <c r="O196">
        <v>0.25</v>
      </c>
      <c r="P196" s="25">
        <v>-2.7799999999999998E-2</v>
      </c>
      <c r="Q196" s="25">
        <v>0.30630000000000002</v>
      </c>
      <c r="R196" s="26">
        <v>19211600</v>
      </c>
      <c r="S196" s="26">
        <v>-27683900000</v>
      </c>
      <c r="T196">
        <v>-0.79</v>
      </c>
      <c r="U196" s="25">
        <v>0.43</v>
      </c>
    </row>
    <row r="197" spans="1:21" x14ac:dyDescent="0.25">
      <c r="A197" t="s">
        <v>400</v>
      </c>
      <c r="B197">
        <v>22.9</v>
      </c>
      <c r="C197">
        <v>55.5</v>
      </c>
      <c r="D197">
        <v>2.31</v>
      </c>
      <c r="E197">
        <v>56.457999999999998</v>
      </c>
      <c r="F197" s="25">
        <v>0</v>
      </c>
      <c r="G197">
        <v>2.1150000000000002</v>
      </c>
      <c r="H197">
        <v>6.26</v>
      </c>
      <c r="I197">
        <v>-100.73</v>
      </c>
      <c r="J197">
        <v>7.97</v>
      </c>
      <c r="K197">
        <v>-87.92</v>
      </c>
      <c r="L197">
        <v>-97.9</v>
      </c>
      <c r="M197" s="25">
        <v>-0.5605</v>
      </c>
      <c r="N197" s="25">
        <v>1.0183</v>
      </c>
      <c r="O197">
        <v>29.82</v>
      </c>
      <c r="P197" s="25">
        <v>-2.93E-2</v>
      </c>
      <c r="Q197" s="25">
        <v>4.1599999999999998E-2</v>
      </c>
      <c r="R197" s="26">
        <v>114.05</v>
      </c>
      <c r="S197" s="26">
        <v>789920000</v>
      </c>
      <c r="T197">
        <v>0.02</v>
      </c>
      <c r="U197" s="25">
        <v>-0.54990000000000006</v>
      </c>
    </row>
    <row r="198" spans="1:21" x14ac:dyDescent="0.25">
      <c r="A198" t="s">
        <v>401</v>
      </c>
      <c r="B198">
        <v>3.81</v>
      </c>
      <c r="C198">
        <v>-1.38</v>
      </c>
      <c r="D198">
        <v>0.19</v>
      </c>
      <c r="E198">
        <v>-3.9140000000000001</v>
      </c>
      <c r="F198" s="25">
        <v>0</v>
      </c>
      <c r="G198">
        <v>9.6000000000000002E-2</v>
      </c>
      <c r="H198">
        <v>1.02</v>
      </c>
      <c r="I198">
        <v>-1.8</v>
      </c>
      <c r="J198">
        <v>-3.66</v>
      </c>
      <c r="K198">
        <v>0.48</v>
      </c>
      <c r="L198">
        <v>0.48</v>
      </c>
      <c r="M198" s="25">
        <v>2.1772999999999998</v>
      </c>
      <c r="N198" s="25">
        <v>5.7458999999999998</v>
      </c>
      <c r="O198">
        <v>2.74</v>
      </c>
      <c r="P198" s="25">
        <v>-6.2399999999999997E-2</v>
      </c>
      <c r="Q198" s="25">
        <v>-0.1384</v>
      </c>
      <c r="R198" s="26">
        <v>22321.7</v>
      </c>
      <c r="S198" s="26">
        <v>1347650000</v>
      </c>
      <c r="T198">
        <v>0.03</v>
      </c>
      <c r="U198" s="25">
        <v>-9.7500000000000003E-2</v>
      </c>
    </row>
    <row r="199" spans="1:21" x14ac:dyDescent="0.25">
      <c r="A199" t="s">
        <v>75</v>
      </c>
      <c r="B199">
        <v>5.5</v>
      </c>
      <c r="C199">
        <v>7</v>
      </c>
      <c r="D199">
        <v>1.26</v>
      </c>
      <c r="E199">
        <v>1.87</v>
      </c>
      <c r="F199" s="25">
        <v>8.7900000000000006E-2</v>
      </c>
      <c r="G199">
        <v>1.0609999999999999</v>
      </c>
      <c r="H199">
        <v>1.98</v>
      </c>
      <c r="I199">
        <v>10.02</v>
      </c>
      <c r="J199">
        <v>2</v>
      </c>
      <c r="K199">
        <v>7.16</v>
      </c>
      <c r="L199">
        <v>6.26</v>
      </c>
      <c r="M199" s="25">
        <v>0.1867</v>
      </c>
      <c r="N199" s="25">
        <v>0.26719999999999999</v>
      </c>
      <c r="O199">
        <v>4.47</v>
      </c>
      <c r="P199" s="25">
        <v>0.16539999999999999</v>
      </c>
      <c r="Q199" s="25">
        <v>0.1802</v>
      </c>
      <c r="R199" s="26">
        <v>14449600</v>
      </c>
      <c r="S199" s="26">
        <v>3934740000</v>
      </c>
      <c r="T199">
        <v>0.05</v>
      </c>
      <c r="U199" s="25">
        <v>5.8200000000000002E-2</v>
      </c>
    </row>
    <row r="200" spans="1:21" x14ac:dyDescent="0.25">
      <c r="A200" t="s">
        <v>402</v>
      </c>
      <c r="B200">
        <v>4.5999999999999996</v>
      </c>
      <c r="C200">
        <v>-0.02</v>
      </c>
      <c r="D200">
        <v>-0.01</v>
      </c>
      <c r="E200">
        <v>4.8000000000000001E-2</v>
      </c>
      <c r="F200" s="25">
        <v>0</v>
      </c>
      <c r="G200">
        <v>7.0000000000000001E-3</v>
      </c>
      <c r="H200">
        <v>-0.55000000000000004</v>
      </c>
      <c r="I200">
        <v>0.16</v>
      </c>
      <c r="J200">
        <v>0</v>
      </c>
      <c r="K200">
        <v>39.61</v>
      </c>
      <c r="L200">
        <v>38.06</v>
      </c>
      <c r="M200" s="25">
        <v>0.2949</v>
      </c>
      <c r="N200" s="25">
        <v>-3.1928000000000001</v>
      </c>
      <c r="O200">
        <v>0.92</v>
      </c>
      <c r="P200" s="25">
        <v>5.0999999999999997E-2</v>
      </c>
      <c r="Q200" s="25">
        <v>0.4163</v>
      </c>
      <c r="R200" s="26">
        <v>3920.81</v>
      </c>
      <c r="S200" s="26">
        <v>-1409770000</v>
      </c>
      <c r="T200">
        <v>-1.6</v>
      </c>
      <c r="U200" s="25">
        <v>0.1696</v>
      </c>
    </row>
    <row r="201" spans="1:21" x14ac:dyDescent="0.25">
      <c r="A201" t="s">
        <v>216</v>
      </c>
      <c r="B201">
        <v>8.01</v>
      </c>
      <c r="C201">
        <v>12.29</v>
      </c>
      <c r="D201">
        <v>0.74</v>
      </c>
      <c r="E201">
        <v>0.40600000000000003</v>
      </c>
      <c r="F201" s="25">
        <v>0</v>
      </c>
      <c r="G201">
        <v>0.30199999999999999</v>
      </c>
      <c r="H201">
        <v>1.48</v>
      </c>
      <c r="I201">
        <v>4.68</v>
      </c>
      <c r="J201">
        <v>10.63</v>
      </c>
      <c r="K201">
        <v>5.7</v>
      </c>
      <c r="L201">
        <v>3.14</v>
      </c>
      <c r="M201" s="25">
        <v>8.6699999999999999E-2</v>
      </c>
      <c r="N201" s="25">
        <v>3.3099999999999997E-2</v>
      </c>
      <c r="O201">
        <v>1.49</v>
      </c>
      <c r="P201" s="25">
        <v>7.8799999999999995E-2</v>
      </c>
      <c r="Q201" s="25">
        <v>6.0499999999999998E-2</v>
      </c>
      <c r="R201" s="26">
        <v>9771420</v>
      </c>
      <c r="S201" s="26">
        <v>5382710000</v>
      </c>
      <c r="T201">
        <v>0.37</v>
      </c>
      <c r="U201" s="25">
        <v>0.126</v>
      </c>
    </row>
    <row r="202" spans="1:21" x14ac:dyDescent="0.25">
      <c r="A202" t="s">
        <v>60</v>
      </c>
      <c r="B202">
        <v>1.96</v>
      </c>
      <c r="C202">
        <v>11.77</v>
      </c>
      <c r="D202">
        <v>-0.46</v>
      </c>
      <c r="E202">
        <v>0.76800000000000002</v>
      </c>
      <c r="F202" s="25">
        <v>0</v>
      </c>
      <c r="G202">
        <v>0.34699999999999998</v>
      </c>
      <c r="H202">
        <v>0.66</v>
      </c>
      <c r="I202">
        <v>-14.89</v>
      </c>
      <c r="J202">
        <v>-0.4</v>
      </c>
      <c r="K202">
        <v>2.98</v>
      </c>
      <c r="L202">
        <v>8.5299999999999994</v>
      </c>
      <c r="M202" s="25">
        <v>-5.16E-2</v>
      </c>
      <c r="N202" s="25">
        <v>6.5299999999999997E-2</v>
      </c>
      <c r="O202">
        <v>2.4300000000000002</v>
      </c>
      <c r="P202" s="25">
        <v>-9.11E-2</v>
      </c>
      <c r="Q202" s="25">
        <v>-3.9E-2</v>
      </c>
      <c r="R202" s="26">
        <v>4488.5200000000004</v>
      </c>
      <c r="S202" s="26">
        <v>-50773000</v>
      </c>
      <c r="T202">
        <v>-0.41</v>
      </c>
      <c r="U202" s="25">
        <v>-6.59E-2</v>
      </c>
    </row>
    <row r="203" spans="1:21" x14ac:dyDescent="0.25">
      <c r="A203" t="s">
        <v>29</v>
      </c>
      <c r="B203">
        <v>1.23</v>
      </c>
      <c r="C203">
        <v>7.39</v>
      </c>
      <c r="D203">
        <v>-0.28999999999999998</v>
      </c>
      <c r="E203">
        <v>0.48199999999999998</v>
      </c>
      <c r="F203" s="25">
        <v>0</v>
      </c>
      <c r="G203">
        <v>0.218</v>
      </c>
      <c r="H203">
        <v>0.42</v>
      </c>
      <c r="I203">
        <v>-9.35</v>
      </c>
      <c r="J203">
        <v>-0.25</v>
      </c>
      <c r="K203">
        <v>8.52</v>
      </c>
      <c r="L203">
        <v>24.41</v>
      </c>
      <c r="M203" s="25">
        <v>-5.16E-2</v>
      </c>
      <c r="N203" s="25">
        <v>6.5299999999999997E-2</v>
      </c>
      <c r="O203">
        <v>2.4300000000000002</v>
      </c>
      <c r="P203" s="25">
        <v>-9.11E-2</v>
      </c>
      <c r="Q203" s="25">
        <v>-3.9E-2</v>
      </c>
      <c r="R203" s="26">
        <v>10850</v>
      </c>
      <c r="S203" s="26">
        <v>-50773000</v>
      </c>
      <c r="T203">
        <v>-0.41</v>
      </c>
      <c r="U203" s="25">
        <v>-6.59E-2</v>
      </c>
    </row>
    <row r="204" spans="1:21" x14ac:dyDescent="0.25">
      <c r="A204" t="s">
        <v>241</v>
      </c>
      <c r="B204">
        <v>38.49</v>
      </c>
      <c r="C204">
        <v>-36.61</v>
      </c>
      <c r="D204">
        <v>0.4</v>
      </c>
      <c r="E204">
        <v>0.66600000000000004</v>
      </c>
      <c r="F204" s="25">
        <v>0</v>
      </c>
      <c r="G204">
        <v>0.26100000000000001</v>
      </c>
      <c r="H204">
        <v>3.04</v>
      </c>
      <c r="I204">
        <v>22.6</v>
      </c>
      <c r="J204">
        <v>-1.46</v>
      </c>
      <c r="K204">
        <v>26.88</v>
      </c>
      <c r="L204">
        <v>13.08</v>
      </c>
      <c r="M204" s="25">
        <v>2.9499999999999998E-2</v>
      </c>
      <c r="N204" s="25">
        <v>-1.8200000000000001E-2</v>
      </c>
      <c r="O204">
        <v>2.1</v>
      </c>
      <c r="P204" s="25">
        <v>1.3299999999999999E-2</v>
      </c>
      <c r="Q204" s="25">
        <v>-1.0800000000000001E-2</v>
      </c>
      <c r="R204" s="26">
        <v>211812000</v>
      </c>
      <c r="S204" s="26">
        <v>48864200000</v>
      </c>
      <c r="T204">
        <v>0.27</v>
      </c>
      <c r="U204" s="25">
        <v>0.3775</v>
      </c>
    </row>
    <row r="205" spans="1:21" x14ac:dyDescent="0.25">
      <c r="A205" t="s">
        <v>210</v>
      </c>
      <c r="B205">
        <v>2.79</v>
      </c>
      <c r="C205">
        <v>6.54</v>
      </c>
      <c r="D205">
        <v>0.26</v>
      </c>
      <c r="E205">
        <v>0.29299999999999998</v>
      </c>
      <c r="F205" s="25">
        <v>3.6299999999999999E-2</v>
      </c>
      <c r="G205">
        <v>5.8000000000000003E-2</v>
      </c>
      <c r="H205">
        <v>0.4</v>
      </c>
      <c r="I205">
        <v>1.77</v>
      </c>
      <c r="J205">
        <v>-0.33</v>
      </c>
      <c r="K205">
        <v>8.85</v>
      </c>
      <c r="L205">
        <v>7.73</v>
      </c>
      <c r="M205" s="25">
        <v>0.16569999999999999</v>
      </c>
      <c r="N205" s="25">
        <v>0.12989999999999999</v>
      </c>
      <c r="O205">
        <v>1.61</v>
      </c>
      <c r="P205" s="25">
        <v>3.4700000000000002E-2</v>
      </c>
      <c r="Q205" s="25">
        <v>3.9100000000000003E-2</v>
      </c>
      <c r="R205" s="26">
        <v>3590610</v>
      </c>
      <c r="S205" s="26">
        <v>1459720000</v>
      </c>
      <c r="T205">
        <v>1.18</v>
      </c>
      <c r="U205" s="25">
        <v>9.6799999999999997E-2</v>
      </c>
    </row>
    <row r="206" spans="1:21" x14ac:dyDescent="0.25">
      <c r="A206" t="s">
        <v>223</v>
      </c>
      <c r="B206">
        <v>3.53</v>
      </c>
      <c r="C206">
        <v>10.27</v>
      </c>
      <c r="D206">
        <v>0.18</v>
      </c>
      <c r="E206">
        <v>2.1309999999999998</v>
      </c>
      <c r="F206" s="25">
        <v>0</v>
      </c>
      <c r="G206">
        <v>7.0999999999999994E-2</v>
      </c>
      <c r="H206">
        <v>1.99</v>
      </c>
      <c r="I206">
        <v>1.28</v>
      </c>
      <c r="J206">
        <v>-0.22</v>
      </c>
      <c r="K206">
        <v>6.26</v>
      </c>
      <c r="L206">
        <v>6.15</v>
      </c>
      <c r="M206" s="25">
        <v>1.6667000000000001</v>
      </c>
      <c r="N206" s="25">
        <v>0.70950000000000002</v>
      </c>
      <c r="O206">
        <v>1.57</v>
      </c>
      <c r="P206" s="25">
        <v>5.74E-2</v>
      </c>
      <c r="Q206" s="25">
        <v>1.7399999999999999E-2</v>
      </c>
      <c r="R206" s="26">
        <v>1116720</v>
      </c>
      <c r="S206" s="26">
        <v>2040590000</v>
      </c>
      <c r="T206">
        <v>0.77</v>
      </c>
      <c r="U206" s="25">
        <v>0.2213</v>
      </c>
    </row>
    <row r="207" spans="1:21" x14ac:dyDescent="0.25">
      <c r="A207" t="s">
        <v>100</v>
      </c>
      <c r="B207">
        <v>3.7</v>
      </c>
      <c r="C207">
        <v>-9.5399999999999991</v>
      </c>
      <c r="D207">
        <v>5.3</v>
      </c>
      <c r="E207">
        <v>3.512</v>
      </c>
      <c r="F207" s="25">
        <v>0</v>
      </c>
      <c r="G207">
        <v>0.80400000000000005</v>
      </c>
      <c r="H207">
        <v>7.84</v>
      </c>
      <c r="I207">
        <v>-25.96</v>
      </c>
      <c r="J207">
        <v>-1.35</v>
      </c>
      <c r="K207">
        <v>-43.77</v>
      </c>
      <c r="L207">
        <v>37.39</v>
      </c>
      <c r="M207" s="25">
        <v>-0.1353</v>
      </c>
      <c r="N207" s="25">
        <v>-0.36820000000000003</v>
      </c>
      <c r="O207">
        <v>1.67</v>
      </c>
      <c r="P207" s="25">
        <v>-3.3599999999999998E-2</v>
      </c>
      <c r="Q207" s="25">
        <v>-0.55549999999999999</v>
      </c>
      <c r="R207" s="26">
        <v>14010600</v>
      </c>
      <c r="S207" s="26">
        <v>949871000</v>
      </c>
      <c r="T207">
        <v>4.05</v>
      </c>
      <c r="U207" s="25">
        <v>2.8000000000000001E-2</v>
      </c>
    </row>
    <row r="208" spans="1:21" x14ac:dyDescent="0.25">
      <c r="A208" t="s">
        <v>403</v>
      </c>
      <c r="B208">
        <v>30</v>
      </c>
      <c r="C208">
        <v>13.33</v>
      </c>
      <c r="D208">
        <v>0.42</v>
      </c>
      <c r="E208">
        <v>3.9550000000000001</v>
      </c>
      <c r="F208" s="25">
        <v>0.1966</v>
      </c>
      <c r="G208">
        <v>0.17</v>
      </c>
      <c r="H208">
        <v>5.19</v>
      </c>
      <c r="I208">
        <v>-4.62</v>
      </c>
      <c r="J208">
        <v>-0.35</v>
      </c>
      <c r="K208">
        <v>-8.51</v>
      </c>
      <c r="L208">
        <v>-8.77</v>
      </c>
      <c r="M208" s="25">
        <v>-0.85560000000000003</v>
      </c>
      <c r="N208" s="25">
        <v>0.29649999999999999</v>
      </c>
      <c r="O208">
        <v>1.37</v>
      </c>
      <c r="P208" s="25">
        <v>-3.7999999999999999E-2</v>
      </c>
      <c r="Q208" s="25">
        <v>3.1699999999999999E-2</v>
      </c>
      <c r="R208" s="26">
        <v>7249.38</v>
      </c>
      <c r="S208" s="26">
        <v>647667000</v>
      </c>
      <c r="T208">
        <v>0.43</v>
      </c>
      <c r="U208" s="25">
        <v>-8.4599999999999995E-2</v>
      </c>
    </row>
    <row r="209" spans="1:21" x14ac:dyDescent="0.25">
      <c r="A209" t="s">
        <v>404</v>
      </c>
      <c r="B209">
        <v>5.51</v>
      </c>
      <c r="C209">
        <v>3.19</v>
      </c>
      <c r="D209">
        <v>-0.01</v>
      </c>
      <c r="E209">
        <v>0.67100000000000004</v>
      </c>
      <c r="F209" s="25">
        <v>0</v>
      </c>
      <c r="G209">
        <v>0.22800000000000001</v>
      </c>
      <c r="H209">
        <v>-0.81</v>
      </c>
      <c r="I209">
        <v>0.72</v>
      </c>
      <c r="J209">
        <v>-0.01</v>
      </c>
      <c r="K209">
        <v>83.92</v>
      </c>
      <c r="L209">
        <v>83.92</v>
      </c>
      <c r="M209" s="25">
        <v>0.93100000000000005</v>
      </c>
      <c r="N209" s="25">
        <v>0.21049999999999999</v>
      </c>
      <c r="O209">
        <v>0.32</v>
      </c>
      <c r="P209" s="25">
        <v>0.31859999999999999</v>
      </c>
      <c r="Q209" s="25">
        <v>-2.5000000000000001E-3</v>
      </c>
      <c r="R209" s="26">
        <v>358.29</v>
      </c>
      <c r="S209" s="26">
        <v>-350747000</v>
      </c>
      <c r="T209">
        <v>-0.93</v>
      </c>
      <c r="U209" s="25">
        <v>0.25180000000000002</v>
      </c>
    </row>
    <row r="210" spans="1:21" x14ac:dyDescent="0.25">
      <c r="A210" t="s">
        <v>405</v>
      </c>
      <c r="B210">
        <v>3.72</v>
      </c>
      <c r="C210">
        <v>0.84</v>
      </c>
      <c r="D210">
        <v>-1.43</v>
      </c>
      <c r="E210">
        <v>0.38300000000000001</v>
      </c>
      <c r="F210" s="25">
        <v>0</v>
      </c>
      <c r="G210">
        <v>0.13100000000000001</v>
      </c>
      <c r="H210">
        <v>-1.18</v>
      </c>
      <c r="I210">
        <v>1.08</v>
      </c>
      <c r="J210">
        <v>-0.14000000000000001</v>
      </c>
      <c r="K210">
        <v>0.56999999999999995</v>
      </c>
      <c r="L210">
        <v>0.5</v>
      </c>
      <c r="M210" s="25">
        <v>0.35339999999999999</v>
      </c>
      <c r="N210" s="25">
        <v>0.45440000000000003</v>
      </c>
      <c r="O210">
        <v>0.64</v>
      </c>
      <c r="P210" s="25">
        <v>0.13039999999999999</v>
      </c>
      <c r="Q210" s="25">
        <v>-1.6920999999999999</v>
      </c>
      <c r="R210" s="26">
        <v>39961.599999999999</v>
      </c>
      <c r="S210" s="26">
        <v>-47880000</v>
      </c>
      <c r="T210">
        <v>-0.02</v>
      </c>
      <c r="U210" s="25">
        <v>0.67969999999999997</v>
      </c>
    </row>
    <row r="211" spans="1:21" x14ac:dyDescent="0.25">
      <c r="A211" t="s">
        <v>229</v>
      </c>
      <c r="B211">
        <v>27.8</v>
      </c>
      <c r="C211">
        <v>21.77</v>
      </c>
      <c r="D211">
        <v>1.5</v>
      </c>
      <c r="E211">
        <v>2.63</v>
      </c>
      <c r="F211" s="25">
        <v>3.5000000000000003E-2</v>
      </c>
      <c r="G211">
        <v>0.72399999999999998</v>
      </c>
      <c r="H211">
        <v>14.39</v>
      </c>
      <c r="I211">
        <v>18.440000000000001</v>
      </c>
      <c r="J211">
        <v>-2.63</v>
      </c>
      <c r="K211">
        <v>26.35</v>
      </c>
      <c r="L211">
        <v>20.21</v>
      </c>
      <c r="M211" s="25">
        <v>0.1426</v>
      </c>
      <c r="N211" s="25">
        <v>0.1196</v>
      </c>
      <c r="O211">
        <v>1.26</v>
      </c>
      <c r="P211" s="25">
        <v>4.2999999999999997E-2</v>
      </c>
      <c r="Q211" s="25">
        <v>6.8900000000000003E-2</v>
      </c>
      <c r="R211" s="26">
        <v>79564400</v>
      </c>
      <c r="S211" s="26">
        <v>11738300000</v>
      </c>
      <c r="T211">
        <v>0.79</v>
      </c>
      <c r="U211" s="25">
        <v>0.113</v>
      </c>
    </row>
    <row r="212" spans="1:21" x14ac:dyDescent="0.25">
      <c r="A212" t="s">
        <v>240</v>
      </c>
      <c r="B212">
        <v>7.0000000000000007E-2</v>
      </c>
      <c r="C212">
        <v>-0.06</v>
      </c>
      <c r="D212">
        <v>-0.7</v>
      </c>
      <c r="E212">
        <v>0.10100000000000001</v>
      </c>
      <c r="F212" s="25">
        <v>0</v>
      </c>
      <c r="G212">
        <v>7.0999999999999994E-2</v>
      </c>
      <c r="H212">
        <v>-0.39</v>
      </c>
      <c r="I212">
        <v>-7.0000000000000007E-2</v>
      </c>
      <c r="J212">
        <v>-0.12</v>
      </c>
      <c r="K212">
        <v>-0.56000000000000005</v>
      </c>
      <c r="L212">
        <v>-0.6</v>
      </c>
      <c r="M212" s="25">
        <v>-1.4795</v>
      </c>
      <c r="N212" s="25">
        <v>-1.6592</v>
      </c>
      <c r="O212">
        <v>0.73</v>
      </c>
      <c r="P212" s="25">
        <v>-1.4582999999999999</v>
      </c>
      <c r="Q212" s="25">
        <v>11.5709</v>
      </c>
      <c r="R212" s="26">
        <v>911778</v>
      </c>
      <c r="S212" s="26">
        <v>-147834000</v>
      </c>
      <c r="T212">
        <v>-5.62</v>
      </c>
      <c r="U212" s="25">
        <v>0.23169999999999999</v>
      </c>
    </row>
    <row r="213" spans="1:21" x14ac:dyDescent="0.25">
      <c r="A213" t="s">
        <v>406</v>
      </c>
      <c r="B213">
        <v>175.99</v>
      </c>
      <c r="C213">
        <v>0.56000000000000005</v>
      </c>
      <c r="D213">
        <v>-0.34</v>
      </c>
      <c r="E213">
        <v>30.247</v>
      </c>
      <c r="F213" s="25">
        <v>0</v>
      </c>
      <c r="G213">
        <v>1.0349999999999999</v>
      </c>
      <c r="H213">
        <v>-0.99</v>
      </c>
      <c r="I213">
        <v>-3.7</v>
      </c>
      <c r="J213">
        <v>-0.28999999999999998</v>
      </c>
      <c r="K213">
        <v>-7.85</v>
      </c>
      <c r="L213">
        <v>-8.2100000000000009</v>
      </c>
      <c r="M213" s="25">
        <v>-8.1712000000000007</v>
      </c>
      <c r="N213" s="25">
        <v>53.793199999999999</v>
      </c>
      <c r="O213">
        <v>0.33</v>
      </c>
      <c r="P213" s="25">
        <v>-0.57989999999999997</v>
      </c>
      <c r="Q213" s="25">
        <v>-0.60099999999999998</v>
      </c>
      <c r="R213" s="26">
        <v>10393.299999999999</v>
      </c>
      <c r="S213" s="26">
        <v>-650957000</v>
      </c>
      <c r="T213">
        <v>-0.54</v>
      </c>
      <c r="U213" s="25">
        <v>0.13969999999999999</v>
      </c>
    </row>
    <row r="214" spans="1:21" x14ac:dyDescent="0.25">
      <c r="A214" t="s">
        <v>407</v>
      </c>
      <c r="B214">
        <v>21.88</v>
      </c>
      <c r="C214">
        <v>15.24</v>
      </c>
      <c r="D214">
        <v>1.47</v>
      </c>
      <c r="E214">
        <v>5.1180000000000003</v>
      </c>
      <c r="F214" s="25">
        <v>1.7999999999999999E-2</v>
      </c>
      <c r="G214">
        <v>0.72499999999999998</v>
      </c>
      <c r="H214">
        <v>3.03</v>
      </c>
      <c r="I214">
        <v>9.18</v>
      </c>
      <c r="J214">
        <v>-3.5</v>
      </c>
      <c r="K214">
        <v>11.79</v>
      </c>
      <c r="L214">
        <v>9.4700000000000006</v>
      </c>
      <c r="M214" s="25">
        <v>0.55730000000000002</v>
      </c>
      <c r="N214" s="25">
        <v>0.33600000000000002</v>
      </c>
      <c r="O214">
        <v>4.9000000000000004</v>
      </c>
      <c r="P214" s="25">
        <v>0.1065</v>
      </c>
      <c r="Q214" s="25">
        <v>9.6600000000000005E-2</v>
      </c>
      <c r="R214" s="26">
        <v>60270000</v>
      </c>
      <c r="S214" s="26">
        <v>4409240000</v>
      </c>
      <c r="T214">
        <v>0.94</v>
      </c>
      <c r="U214" s="25">
        <v>0.15790000000000001</v>
      </c>
    </row>
    <row r="215" spans="1:21" x14ac:dyDescent="0.25">
      <c r="A215" t="s">
        <v>108</v>
      </c>
      <c r="B215">
        <v>2.65</v>
      </c>
      <c r="C215">
        <v>12.92</v>
      </c>
      <c r="D215">
        <v>1.25</v>
      </c>
      <c r="E215">
        <v>4.3390000000000004</v>
      </c>
      <c r="F215" s="25">
        <v>2.12E-2</v>
      </c>
      <c r="G215">
        <v>0.61499999999999999</v>
      </c>
      <c r="H215">
        <v>2.57</v>
      </c>
      <c r="I215">
        <v>7.79</v>
      </c>
      <c r="J215">
        <v>-2.97</v>
      </c>
      <c r="K215">
        <v>10.39</v>
      </c>
      <c r="L215">
        <v>8.34</v>
      </c>
      <c r="M215" s="25">
        <v>0.55730000000000002</v>
      </c>
      <c r="N215" s="25">
        <v>0.33600000000000002</v>
      </c>
      <c r="O215">
        <v>4.9000000000000004</v>
      </c>
      <c r="P215" s="25">
        <v>0.1065</v>
      </c>
      <c r="Q215" s="25">
        <v>9.6600000000000005E-2</v>
      </c>
      <c r="R215" s="26">
        <v>109930</v>
      </c>
      <c r="S215" s="26">
        <v>4409240000</v>
      </c>
      <c r="T215">
        <v>0.94</v>
      </c>
      <c r="U215" s="25">
        <v>0.15790000000000001</v>
      </c>
    </row>
    <row r="216" spans="1:21" x14ac:dyDescent="0.25">
      <c r="A216" t="s">
        <v>408</v>
      </c>
      <c r="B216">
        <v>2.35</v>
      </c>
      <c r="C216">
        <v>-0.45</v>
      </c>
      <c r="D216">
        <v>-7.0000000000000007E-2</v>
      </c>
      <c r="E216">
        <v>23.812999999999999</v>
      </c>
      <c r="F216" s="25">
        <v>0</v>
      </c>
      <c r="G216">
        <v>0.112</v>
      </c>
      <c r="H216">
        <v>-0.09</v>
      </c>
      <c r="I216">
        <v>-1.45</v>
      </c>
      <c r="J216">
        <v>-0.05</v>
      </c>
      <c r="K216">
        <v>-14.23</v>
      </c>
      <c r="L216">
        <v>-15.65</v>
      </c>
      <c r="M216" s="25">
        <v>-16.470199999999998</v>
      </c>
      <c r="N216" s="25">
        <v>-53.787599999999998</v>
      </c>
      <c r="O216">
        <v>0.08</v>
      </c>
      <c r="P216" s="25">
        <v>-8.3099999999999993E-2</v>
      </c>
      <c r="Q216" s="25">
        <v>0.16059999999999999</v>
      </c>
      <c r="R216" s="26">
        <v>163861</v>
      </c>
      <c r="S216" s="26">
        <v>-1448530000</v>
      </c>
      <c r="T216">
        <v>-0.64</v>
      </c>
      <c r="U216" s="25">
        <v>-0.21640000000000001</v>
      </c>
    </row>
    <row r="217" spans="1:21" x14ac:dyDescent="0.25">
      <c r="A217" t="s">
        <v>244</v>
      </c>
      <c r="B217">
        <v>1.75</v>
      </c>
      <c r="C217">
        <v>-0.34</v>
      </c>
      <c r="D217">
        <v>-0.05</v>
      </c>
      <c r="E217">
        <v>17.733000000000001</v>
      </c>
      <c r="F217" s="25">
        <v>0</v>
      </c>
      <c r="G217">
        <v>8.4000000000000005E-2</v>
      </c>
      <c r="H217">
        <v>-7.0000000000000007E-2</v>
      </c>
      <c r="I217">
        <v>-1.08</v>
      </c>
      <c r="J217">
        <v>-0.03</v>
      </c>
      <c r="K217">
        <v>-13.86</v>
      </c>
      <c r="L217">
        <v>-15.25</v>
      </c>
      <c r="M217" s="25">
        <v>-16.470199999999998</v>
      </c>
      <c r="N217" s="25">
        <v>-53.787599999999998</v>
      </c>
      <c r="O217">
        <v>0.08</v>
      </c>
      <c r="P217" s="25">
        <v>-8.3099999999999993E-2</v>
      </c>
      <c r="Q217" s="25">
        <v>0.16059999999999999</v>
      </c>
      <c r="R217" s="26">
        <v>153595</v>
      </c>
      <c r="S217" s="26">
        <v>-1448530000</v>
      </c>
      <c r="T217">
        <v>-0.64</v>
      </c>
      <c r="U217" s="25">
        <v>-0.21640000000000001</v>
      </c>
    </row>
    <row r="218" spans="1:21" x14ac:dyDescent="0.25">
      <c r="A218" t="s">
        <v>136</v>
      </c>
      <c r="B218">
        <v>14.87</v>
      </c>
      <c r="C218">
        <v>11.16</v>
      </c>
      <c r="D218">
        <v>1.66</v>
      </c>
      <c r="E218">
        <v>1.05</v>
      </c>
      <c r="F218" s="25">
        <v>3.1E-2</v>
      </c>
      <c r="G218">
        <v>0.95199999999999996</v>
      </c>
      <c r="H218">
        <v>2.1</v>
      </c>
      <c r="I218">
        <v>9.9700000000000006</v>
      </c>
      <c r="J218">
        <v>3.3</v>
      </c>
      <c r="K218">
        <v>10.64</v>
      </c>
      <c r="L218">
        <v>8.77</v>
      </c>
      <c r="M218" s="25">
        <v>0.10539999999999999</v>
      </c>
      <c r="N218" s="25">
        <v>9.4E-2</v>
      </c>
      <c r="O218">
        <v>2.77</v>
      </c>
      <c r="P218" s="25">
        <v>0.1321</v>
      </c>
      <c r="Q218" s="25">
        <v>0.1484</v>
      </c>
      <c r="R218" s="26">
        <v>32716800</v>
      </c>
      <c r="S218" s="26">
        <v>2941250000</v>
      </c>
      <c r="T218">
        <v>0.33</v>
      </c>
      <c r="U218" s="25">
        <v>0.1691</v>
      </c>
    </row>
    <row r="219" spans="1:21" x14ac:dyDescent="0.25">
      <c r="A219" t="s">
        <v>73</v>
      </c>
      <c r="B219">
        <v>47.05</v>
      </c>
      <c r="C219">
        <v>-37.49</v>
      </c>
      <c r="D219">
        <v>0.76</v>
      </c>
      <c r="E219">
        <v>0.64200000000000002</v>
      </c>
      <c r="F219" s="25">
        <v>0</v>
      </c>
      <c r="G219">
        <v>0.24</v>
      </c>
      <c r="H219">
        <v>0</v>
      </c>
      <c r="I219">
        <v>4.9800000000000004</v>
      </c>
      <c r="J219">
        <v>0</v>
      </c>
      <c r="K219">
        <v>0</v>
      </c>
      <c r="L219">
        <v>0</v>
      </c>
      <c r="M219" s="25">
        <v>0.129</v>
      </c>
      <c r="N219" s="25">
        <v>-1.7100000000000001E-2</v>
      </c>
      <c r="O219">
        <v>0</v>
      </c>
      <c r="P219" s="25">
        <v>0</v>
      </c>
      <c r="Q219" s="25">
        <v>-2.0199999999999999E-2</v>
      </c>
      <c r="R219" s="26">
        <v>54138200</v>
      </c>
      <c r="S219" s="26">
        <v>5087450000</v>
      </c>
      <c r="T219">
        <v>0</v>
      </c>
      <c r="U219" s="25">
        <v>0</v>
      </c>
    </row>
    <row r="220" spans="1:21" x14ac:dyDescent="0.25">
      <c r="A220" t="s">
        <v>409</v>
      </c>
      <c r="B220">
        <v>29.75</v>
      </c>
      <c r="C220">
        <v>5.49</v>
      </c>
      <c r="D220">
        <v>0.96</v>
      </c>
      <c r="E220">
        <v>2.3330000000000002</v>
      </c>
      <c r="F220" s="25">
        <v>7.9399999999999998E-2</v>
      </c>
      <c r="G220">
        <v>0.439</v>
      </c>
      <c r="H220">
        <v>3.31</v>
      </c>
      <c r="I220">
        <v>4.18</v>
      </c>
      <c r="J220">
        <v>-1.24</v>
      </c>
      <c r="K220">
        <v>6.67</v>
      </c>
      <c r="L220">
        <v>6.62</v>
      </c>
      <c r="M220" s="25">
        <v>0.55840000000000001</v>
      </c>
      <c r="N220" s="25">
        <v>0.43109999999999998</v>
      </c>
      <c r="O220">
        <v>3.77</v>
      </c>
      <c r="P220" s="25">
        <v>0.114</v>
      </c>
      <c r="Q220" s="25">
        <v>0.17480000000000001</v>
      </c>
      <c r="R220" s="26">
        <v>92614.5</v>
      </c>
      <c r="S220" s="26">
        <v>20414900000</v>
      </c>
      <c r="T220">
        <v>0.73</v>
      </c>
      <c r="U220" s="25">
        <v>0.17660000000000001</v>
      </c>
    </row>
    <row r="221" spans="1:21" x14ac:dyDescent="0.25">
      <c r="A221" t="s">
        <v>5</v>
      </c>
      <c r="B221">
        <v>23.12</v>
      </c>
      <c r="C221">
        <v>4.2699999999999996</v>
      </c>
      <c r="D221">
        <v>0.75</v>
      </c>
      <c r="E221">
        <v>1.8129999999999999</v>
      </c>
      <c r="F221" s="25">
        <v>0.1021</v>
      </c>
      <c r="G221">
        <v>0.34100000000000003</v>
      </c>
      <c r="H221">
        <v>2.58</v>
      </c>
      <c r="I221">
        <v>3.25</v>
      </c>
      <c r="J221">
        <v>-0.96</v>
      </c>
      <c r="K221">
        <v>5.74</v>
      </c>
      <c r="L221">
        <v>5.69</v>
      </c>
      <c r="M221" s="25">
        <v>0.55840000000000001</v>
      </c>
      <c r="N221" s="25">
        <v>0.43109999999999998</v>
      </c>
      <c r="O221">
        <v>3.77</v>
      </c>
      <c r="P221" s="25">
        <v>0.114</v>
      </c>
      <c r="Q221" s="25">
        <v>0.17480000000000001</v>
      </c>
      <c r="R221" s="26">
        <v>47399000</v>
      </c>
      <c r="S221" s="26">
        <v>20414900000</v>
      </c>
      <c r="T221">
        <v>0.73</v>
      </c>
      <c r="U221" s="25">
        <v>0.17660000000000001</v>
      </c>
    </row>
    <row r="222" spans="1:21" x14ac:dyDescent="0.25">
      <c r="A222" t="s">
        <v>40</v>
      </c>
      <c r="B222">
        <v>10.73</v>
      </c>
      <c r="C222">
        <v>7.75</v>
      </c>
      <c r="D222">
        <v>1.37</v>
      </c>
      <c r="E222">
        <v>14.382</v>
      </c>
      <c r="F222" s="25">
        <v>8.1600000000000006E-2</v>
      </c>
      <c r="G222">
        <v>1.0660000000000001</v>
      </c>
      <c r="H222">
        <v>19.61</v>
      </c>
      <c r="I222">
        <v>207.32</v>
      </c>
      <c r="J222">
        <v>-14.74</v>
      </c>
      <c r="K222">
        <v>214.04</v>
      </c>
      <c r="L222">
        <v>68.19</v>
      </c>
      <c r="M222" s="25">
        <v>6.9400000000000003E-2</v>
      </c>
      <c r="N222" s="25">
        <v>1.8759999999999999</v>
      </c>
      <c r="O222">
        <v>1.97</v>
      </c>
      <c r="P222" s="25">
        <v>5.5999999999999999E-3</v>
      </c>
      <c r="Q222" s="25">
        <v>0.17710000000000001</v>
      </c>
      <c r="R222" s="26">
        <v>1448030</v>
      </c>
      <c r="S222" s="26">
        <v>85938000000</v>
      </c>
      <c r="T222">
        <v>0.13</v>
      </c>
      <c r="U222" s="25">
        <v>3.61E-2</v>
      </c>
    </row>
    <row r="223" spans="1:21" x14ac:dyDescent="0.25">
      <c r="A223" t="s">
        <v>49</v>
      </c>
      <c r="B223">
        <v>10.71</v>
      </c>
      <c r="C223">
        <v>7.74</v>
      </c>
      <c r="D223">
        <v>1.37</v>
      </c>
      <c r="E223">
        <v>14.356</v>
      </c>
      <c r="F223" s="25">
        <v>8.1799999999999998E-2</v>
      </c>
      <c r="G223">
        <v>1.0640000000000001</v>
      </c>
      <c r="H223">
        <v>19.579999999999998</v>
      </c>
      <c r="I223">
        <v>206.93</v>
      </c>
      <c r="J223">
        <v>-14.71</v>
      </c>
      <c r="K223">
        <v>213.66</v>
      </c>
      <c r="L223">
        <v>68.069999999999993</v>
      </c>
      <c r="M223" s="25">
        <v>6.9400000000000003E-2</v>
      </c>
      <c r="N223" s="25">
        <v>1.8759999999999999</v>
      </c>
      <c r="O223">
        <v>1.97</v>
      </c>
      <c r="P223" s="25">
        <v>5.5999999999999999E-3</v>
      </c>
      <c r="Q223" s="25">
        <v>0.17710000000000001</v>
      </c>
      <c r="R223" s="26">
        <v>331641000</v>
      </c>
      <c r="S223" s="26">
        <v>85938000000</v>
      </c>
      <c r="T223">
        <v>0.13</v>
      </c>
      <c r="U223" s="25">
        <v>3.61E-2</v>
      </c>
    </row>
    <row r="224" spans="1:21" x14ac:dyDescent="0.25">
      <c r="A224" t="s">
        <v>62</v>
      </c>
      <c r="B224">
        <v>32.229999999999997</v>
      </c>
      <c r="C224">
        <v>8.83</v>
      </c>
      <c r="D224">
        <v>1.79</v>
      </c>
      <c r="E224">
        <v>0</v>
      </c>
      <c r="F224" s="25">
        <v>8.4599999999999995E-2</v>
      </c>
      <c r="G224">
        <v>0</v>
      </c>
      <c r="H224">
        <v>0</v>
      </c>
      <c r="I224">
        <v>0</v>
      </c>
      <c r="J224">
        <v>0</v>
      </c>
      <c r="K224">
        <v>0</v>
      </c>
      <c r="L224">
        <v>0</v>
      </c>
      <c r="M224" s="25">
        <v>0</v>
      </c>
      <c r="N224" s="25">
        <v>0</v>
      </c>
      <c r="O224">
        <v>0</v>
      </c>
      <c r="P224" s="25">
        <v>0</v>
      </c>
      <c r="Q224" s="25">
        <v>0.20330000000000001</v>
      </c>
      <c r="R224" s="26">
        <v>20530900</v>
      </c>
      <c r="S224" s="26">
        <v>193682000000</v>
      </c>
      <c r="T224">
        <v>0</v>
      </c>
      <c r="U224" s="25">
        <v>0.79800000000000004</v>
      </c>
    </row>
    <row r="225" spans="1:21" x14ac:dyDescent="0.25">
      <c r="A225" t="s">
        <v>44</v>
      </c>
      <c r="B225">
        <v>36.17</v>
      </c>
      <c r="C225">
        <v>9.9</v>
      </c>
      <c r="D225">
        <v>2.0099999999999998</v>
      </c>
      <c r="E225">
        <v>0</v>
      </c>
      <c r="F225" s="25">
        <v>7.5399999999999995E-2</v>
      </c>
      <c r="G225">
        <v>0</v>
      </c>
      <c r="H225">
        <v>0</v>
      </c>
      <c r="I225">
        <v>0</v>
      </c>
      <c r="J225">
        <v>0</v>
      </c>
      <c r="K225">
        <v>0</v>
      </c>
      <c r="L225">
        <v>0</v>
      </c>
      <c r="M225" s="25">
        <v>0</v>
      </c>
      <c r="N225" s="25">
        <v>0</v>
      </c>
      <c r="O225">
        <v>0</v>
      </c>
      <c r="P225" s="25">
        <v>0</v>
      </c>
      <c r="Q225" s="25">
        <v>0.20330000000000001</v>
      </c>
      <c r="R225" s="26">
        <v>844979000</v>
      </c>
      <c r="S225" s="26">
        <v>193682000000</v>
      </c>
      <c r="T225">
        <v>0</v>
      </c>
      <c r="U225" s="25">
        <v>0.79800000000000004</v>
      </c>
    </row>
    <row r="226" spans="1:21" x14ac:dyDescent="0.25">
      <c r="A226" t="s">
        <v>126</v>
      </c>
      <c r="B226">
        <v>4.08</v>
      </c>
      <c r="C226">
        <v>-35.71</v>
      </c>
      <c r="D226">
        <v>0.61</v>
      </c>
      <c r="E226">
        <v>0.56599999999999995</v>
      </c>
      <c r="F226" s="25">
        <v>1.66E-2</v>
      </c>
      <c r="G226">
        <v>0.16900000000000001</v>
      </c>
      <c r="H226">
        <v>0.64</v>
      </c>
      <c r="I226">
        <v>2.4500000000000002</v>
      </c>
      <c r="J226">
        <v>-0.48</v>
      </c>
      <c r="K226">
        <v>9.1199999999999992</v>
      </c>
      <c r="L226">
        <v>3.01</v>
      </c>
      <c r="M226" s="25">
        <v>0.2316</v>
      </c>
      <c r="N226" s="25">
        <v>-1.5900000000000001E-2</v>
      </c>
      <c r="O226">
        <v>3.3</v>
      </c>
      <c r="P226" s="25">
        <v>8.4099999999999994E-2</v>
      </c>
      <c r="Q226" s="25">
        <v>-1.72E-2</v>
      </c>
      <c r="R226" s="26">
        <v>1950850</v>
      </c>
      <c r="S226" s="26">
        <v>2017030000</v>
      </c>
      <c r="T226">
        <v>2.2599999999999998</v>
      </c>
      <c r="U226" s="25">
        <v>0.13650000000000001</v>
      </c>
    </row>
    <row r="227" spans="1:21" x14ac:dyDescent="0.25">
      <c r="A227" t="s">
        <v>79</v>
      </c>
      <c r="B227">
        <v>39.03</v>
      </c>
      <c r="C227">
        <v>3.11</v>
      </c>
      <c r="D227">
        <v>0.78</v>
      </c>
      <c r="E227">
        <v>7.6999999999999999E-2</v>
      </c>
      <c r="F227" s="25">
        <v>0.39269999999999999</v>
      </c>
      <c r="G227">
        <v>0.14099999999999999</v>
      </c>
      <c r="H227">
        <v>0.88</v>
      </c>
      <c r="I227">
        <v>1.31</v>
      </c>
      <c r="J227">
        <v>-0.37</v>
      </c>
      <c r="K227">
        <v>4.58</v>
      </c>
      <c r="L227">
        <v>3.11</v>
      </c>
      <c r="M227" s="25">
        <v>5.8599999999999999E-2</v>
      </c>
      <c r="N227" s="25">
        <v>2.75E-2</v>
      </c>
      <c r="O227">
        <v>1.62</v>
      </c>
      <c r="P227" s="25">
        <v>0.14699999999999999</v>
      </c>
      <c r="Q227" s="25">
        <v>0.2515</v>
      </c>
      <c r="R227" s="26">
        <v>626443000</v>
      </c>
      <c r="S227" s="26">
        <v>43308500000</v>
      </c>
      <c r="T227">
        <v>2.64</v>
      </c>
      <c r="U227" s="25">
        <v>8.8700000000000001E-2</v>
      </c>
    </row>
    <row r="228" spans="1:21" x14ac:dyDescent="0.25">
      <c r="A228" t="s">
        <v>112</v>
      </c>
      <c r="B228">
        <v>1.94</v>
      </c>
      <c r="C228">
        <v>-0.1</v>
      </c>
      <c r="D228">
        <v>-0.61</v>
      </c>
      <c r="E228">
        <v>0.105</v>
      </c>
      <c r="F228" s="25">
        <v>0</v>
      </c>
      <c r="G228">
        <v>2.9000000000000001E-2</v>
      </c>
      <c r="H228">
        <v>7.0000000000000007E-2</v>
      </c>
      <c r="I228">
        <v>-0.2</v>
      </c>
      <c r="J228">
        <v>-0.12</v>
      </c>
      <c r="K228">
        <v>-2.46</v>
      </c>
      <c r="L228">
        <v>-2.88</v>
      </c>
      <c r="M228" s="25">
        <v>-0.52080000000000004</v>
      </c>
      <c r="N228" s="25">
        <v>-1.0672999999999999</v>
      </c>
      <c r="O228">
        <v>1.76</v>
      </c>
      <c r="P228" s="25">
        <v>-0.15640000000000001</v>
      </c>
      <c r="Q228" s="25">
        <v>6.1649000000000003</v>
      </c>
      <c r="R228" s="26">
        <v>24337</v>
      </c>
      <c r="S228" s="26">
        <v>-39186000</v>
      </c>
      <c r="T228">
        <v>-6.97</v>
      </c>
      <c r="U228" s="25">
        <v>0.99990000000000001</v>
      </c>
    </row>
    <row r="229" spans="1:21" x14ac:dyDescent="0.25">
      <c r="A229" t="s">
        <v>214</v>
      </c>
      <c r="B229">
        <v>5.23</v>
      </c>
      <c r="C229">
        <v>3.34</v>
      </c>
      <c r="D229">
        <v>0.62</v>
      </c>
      <c r="E229">
        <v>2.0750000000000002</v>
      </c>
      <c r="F229" s="25">
        <v>7.0900000000000005E-2</v>
      </c>
      <c r="G229">
        <v>0.245</v>
      </c>
      <c r="H229">
        <v>1.41</v>
      </c>
      <c r="I229">
        <v>5.85</v>
      </c>
      <c r="J229">
        <v>-1</v>
      </c>
      <c r="K229">
        <v>11.2</v>
      </c>
      <c r="L229">
        <v>9.98</v>
      </c>
      <c r="M229" s="25">
        <v>0.35460000000000003</v>
      </c>
      <c r="N229" s="25">
        <v>0.61619999999999997</v>
      </c>
      <c r="O229">
        <v>2.1</v>
      </c>
      <c r="P229" s="25">
        <v>4.8099999999999997E-2</v>
      </c>
      <c r="Q229" s="25">
        <v>0.1855</v>
      </c>
      <c r="R229" s="26">
        <v>19724900</v>
      </c>
      <c r="S229" s="26">
        <v>5753280000</v>
      </c>
      <c r="T229">
        <v>0.9</v>
      </c>
      <c r="U229" s="25">
        <v>1.18E-2</v>
      </c>
    </row>
    <row r="230" spans="1:21" x14ac:dyDescent="0.25">
      <c r="A230" t="s">
        <v>410</v>
      </c>
      <c r="B230">
        <v>20.12</v>
      </c>
      <c r="C230">
        <v>10.63</v>
      </c>
      <c r="D230">
        <v>0.35</v>
      </c>
      <c r="E230">
        <v>9.7000000000000003E-2</v>
      </c>
      <c r="F230" s="25">
        <v>3.15E-2</v>
      </c>
      <c r="G230">
        <v>9.4E-2</v>
      </c>
      <c r="H230">
        <v>0.28999999999999998</v>
      </c>
      <c r="I230">
        <v>2.17</v>
      </c>
      <c r="J230">
        <v>1.6</v>
      </c>
      <c r="K230">
        <v>7.71</v>
      </c>
      <c r="L230">
        <v>6.77</v>
      </c>
      <c r="M230" s="25">
        <v>4.48E-2</v>
      </c>
      <c r="N230" s="25">
        <v>1.1599999999999999E-2</v>
      </c>
      <c r="O230">
        <v>1.82</v>
      </c>
      <c r="P230" s="25">
        <v>6.4000000000000001E-2</v>
      </c>
      <c r="Q230" s="25">
        <v>3.3300000000000003E-2</v>
      </c>
      <c r="R230" s="26">
        <v>3138.33</v>
      </c>
      <c r="S230" s="26">
        <v>602064000</v>
      </c>
      <c r="T230">
        <v>1.99</v>
      </c>
      <c r="U230" s="25">
        <v>6.0199999999999997E-2</v>
      </c>
    </row>
    <row r="231" spans="1:21" x14ac:dyDescent="0.25">
      <c r="A231" t="s">
        <v>411</v>
      </c>
      <c r="B231">
        <v>29.02</v>
      </c>
      <c r="C231">
        <v>20.27</v>
      </c>
      <c r="D231">
        <v>1.93</v>
      </c>
      <c r="E231">
        <v>4.6669999999999998</v>
      </c>
      <c r="F231" s="25">
        <v>2.8999999999999998E-3</v>
      </c>
      <c r="G231">
        <v>0.46800000000000003</v>
      </c>
      <c r="H231">
        <v>2.34</v>
      </c>
      <c r="I231">
        <v>12.96</v>
      </c>
      <c r="J231">
        <v>-1.68</v>
      </c>
      <c r="K231">
        <v>20.350000000000001</v>
      </c>
      <c r="L231">
        <v>12.83</v>
      </c>
      <c r="M231" s="25">
        <v>0.36020000000000002</v>
      </c>
      <c r="N231" s="25">
        <v>0.46310000000000001</v>
      </c>
      <c r="O231">
        <v>5.31</v>
      </c>
      <c r="P231" s="25">
        <v>4.5600000000000002E-2</v>
      </c>
      <c r="Q231" s="25">
        <v>9.5100000000000004E-2</v>
      </c>
      <c r="R231" s="26">
        <v>7666510</v>
      </c>
      <c r="S231" s="26">
        <v>1762140000</v>
      </c>
      <c r="T231">
        <v>1.94</v>
      </c>
      <c r="U231" s="25">
        <v>1.01E-2</v>
      </c>
    </row>
    <row r="232" spans="1:21" x14ac:dyDescent="0.25">
      <c r="A232" t="s">
        <v>207</v>
      </c>
      <c r="B232">
        <v>6.02</v>
      </c>
      <c r="C232">
        <v>8.39</v>
      </c>
      <c r="D232">
        <v>0.96</v>
      </c>
      <c r="E232">
        <v>0.185</v>
      </c>
      <c r="F232" s="25">
        <v>6.9900000000000004E-2</v>
      </c>
      <c r="G232">
        <v>0.13700000000000001</v>
      </c>
      <c r="H232">
        <v>0.97</v>
      </c>
      <c r="I232">
        <v>1.65</v>
      </c>
      <c r="J232">
        <v>-0.28000000000000003</v>
      </c>
      <c r="K232">
        <v>7.8</v>
      </c>
      <c r="L232">
        <v>4.82</v>
      </c>
      <c r="M232" s="25">
        <v>0.11219999999999999</v>
      </c>
      <c r="N232" s="25">
        <v>2.2100000000000002E-2</v>
      </c>
      <c r="O232">
        <v>1.62</v>
      </c>
      <c r="P232" s="25">
        <v>0.1004</v>
      </c>
      <c r="Q232" s="25">
        <v>0.1148</v>
      </c>
      <c r="R232" s="26">
        <v>3797320</v>
      </c>
      <c r="S232" s="26">
        <v>1791170000</v>
      </c>
      <c r="T232">
        <v>4.6399999999999997</v>
      </c>
      <c r="U232" s="25">
        <v>0.55510000000000004</v>
      </c>
    </row>
    <row r="233" spans="1:21" x14ac:dyDescent="0.25">
      <c r="A233" t="s">
        <v>109</v>
      </c>
      <c r="B233">
        <v>8.39</v>
      </c>
      <c r="C233">
        <v>8.74</v>
      </c>
      <c r="D233">
        <v>2.11</v>
      </c>
      <c r="E233">
        <v>0.95199999999999996</v>
      </c>
      <c r="F233" s="25">
        <v>9.8299999999999998E-2</v>
      </c>
      <c r="G233">
        <v>0.995</v>
      </c>
      <c r="H233">
        <v>3</v>
      </c>
      <c r="I233">
        <v>6.22</v>
      </c>
      <c r="J233">
        <v>7.54</v>
      </c>
      <c r="K233">
        <v>6.09</v>
      </c>
      <c r="L233">
        <v>5.24</v>
      </c>
      <c r="M233" s="25">
        <v>0.15290000000000001</v>
      </c>
      <c r="N233" s="25">
        <v>0.1089</v>
      </c>
      <c r="O233">
        <v>2.0099999999999998</v>
      </c>
      <c r="P233" s="25">
        <v>0.23169999999999999</v>
      </c>
      <c r="Q233" s="25">
        <v>0.2417</v>
      </c>
      <c r="R233" s="26">
        <v>12880300</v>
      </c>
      <c r="S233" s="26">
        <v>714159000</v>
      </c>
      <c r="T233">
        <v>0.45</v>
      </c>
      <c r="U233" s="25">
        <v>0.16320000000000001</v>
      </c>
    </row>
    <row r="234" spans="1:21" x14ac:dyDescent="0.25">
      <c r="A234" t="s">
        <v>412</v>
      </c>
      <c r="B234">
        <v>18.39</v>
      </c>
      <c r="C234">
        <v>12.58</v>
      </c>
      <c r="D234">
        <v>2.63</v>
      </c>
      <c r="E234">
        <v>1.1319999999999999</v>
      </c>
      <c r="F234" s="25">
        <v>6.3700000000000007E-2</v>
      </c>
      <c r="G234">
        <v>0.39500000000000002</v>
      </c>
      <c r="H234">
        <v>3.57</v>
      </c>
      <c r="I234">
        <v>4.96</v>
      </c>
      <c r="J234">
        <v>-0.69</v>
      </c>
      <c r="K234">
        <v>11.44</v>
      </c>
      <c r="L234">
        <v>5.83</v>
      </c>
      <c r="M234" s="25">
        <v>0.22819999999999999</v>
      </c>
      <c r="N234" s="25">
        <v>0.1013</v>
      </c>
      <c r="O234">
        <v>1.96</v>
      </c>
      <c r="P234" s="25">
        <v>9.5799999999999996E-2</v>
      </c>
      <c r="Q234" s="25">
        <v>0.2094</v>
      </c>
      <c r="R234" s="26">
        <v>102179000</v>
      </c>
      <c r="S234" s="26">
        <v>8626520000</v>
      </c>
      <c r="T234">
        <v>4.1900000000000004</v>
      </c>
      <c r="U234" s="25">
        <v>9.4899999999999998E-2</v>
      </c>
    </row>
    <row r="235" spans="1:21" x14ac:dyDescent="0.25">
      <c r="A235" t="s">
        <v>138</v>
      </c>
      <c r="B235">
        <v>3.85</v>
      </c>
      <c r="C235">
        <v>13.17</v>
      </c>
      <c r="D235">
        <v>2.76</v>
      </c>
      <c r="E235">
        <v>1.1850000000000001</v>
      </c>
      <c r="F235" s="25">
        <v>6.0900000000000003E-2</v>
      </c>
      <c r="G235">
        <v>0.41399999999999998</v>
      </c>
      <c r="H235">
        <v>3.74</v>
      </c>
      <c r="I235">
        <v>5.19</v>
      </c>
      <c r="J235">
        <v>-0.72</v>
      </c>
      <c r="K235">
        <v>11.68</v>
      </c>
      <c r="L235">
        <v>5.95</v>
      </c>
      <c r="M235" s="25">
        <v>0.22819999999999999</v>
      </c>
      <c r="N235" s="25">
        <v>0.1013</v>
      </c>
      <c r="O235">
        <v>1.96</v>
      </c>
      <c r="P235" s="25">
        <v>9.5799999999999996E-2</v>
      </c>
      <c r="Q235" s="25">
        <v>0.2094</v>
      </c>
      <c r="R235" s="26">
        <v>1565810</v>
      </c>
      <c r="S235" s="26">
        <v>8626520000</v>
      </c>
      <c r="T235">
        <v>4.1900000000000004</v>
      </c>
      <c r="U235" s="25">
        <v>9.4899999999999998E-2</v>
      </c>
    </row>
    <row r="236" spans="1:21" x14ac:dyDescent="0.25">
      <c r="A236" t="s">
        <v>147</v>
      </c>
      <c r="B236">
        <v>3.64</v>
      </c>
      <c r="C236">
        <v>12.45</v>
      </c>
      <c r="D236">
        <v>2.61</v>
      </c>
      <c r="E236">
        <v>1.121</v>
      </c>
      <c r="F236" s="25">
        <v>6.4399999999999999E-2</v>
      </c>
      <c r="G236">
        <v>0.39100000000000001</v>
      </c>
      <c r="H236">
        <v>3.54</v>
      </c>
      <c r="I236">
        <v>4.91</v>
      </c>
      <c r="J236">
        <v>-0.68</v>
      </c>
      <c r="K236">
        <v>11.39</v>
      </c>
      <c r="L236">
        <v>5.81</v>
      </c>
      <c r="M236" s="25">
        <v>0.22819999999999999</v>
      </c>
      <c r="N236" s="25">
        <v>0.1013</v>
      </c>
      <c r="O236">
        <v>1.96</v>
      </c>
      <c r="P236" s="25">
        <v>9.5799999999999996E-2</v>
      </c>
      <c r="Q236" s="25">
        <v>0.2094</v>
      </c>
      <c r="R236" s="26">
        <v>6702180</v>
      </c>
      <c r="S236" s="26">
        <v>8626520000</v>
      </c>
      <c r="T236">
        <v>4.1900000000000004</v>
      </c>
      <c r="U236" s="25">
        <v>9.4899999999999998E-2</v>
      </c>
    </row>
    <row r="237" spans="1:21" x14ac:dyDescent="0.25">
      <c r="A237" t="s">
        <v>184</v>
      </c>
      <c r="B237">
        <v>8.8699999999999992</v>
      </c>
      <c r="C237">
        <v>-2.79</v>
      </c>
      <c r="D237">
        <v>0.96</v>
      </c>
      <c r="E237">
        <v>0.30299999999999999</v>
      </c>
      <c r="F237" s="25">
        <v>0</v>
      </c>
      <c r="G237">
        <v>0.14299999999999999</v>
      </c>
      <c r="H237">
        <v>1.1000000000000001</v>
      </c>
      <c r="I237">
        <v>2.94</v>
      </c>
      <c r="J237">
        <v>-0.26</v>
      </c>
      <c r="K237">
        <v>15.07</v>
      </c>
      <c r="L237">
        <v>8.6300000000000008</v>
      </c>
      <c r="M237" s="25">
        <v>0.1032</v>
      </c>
      <c r="N237" s="25">
        <v>-0.1085</v>
      </c>
      <c r="O237">
        <v>1.84</v>
      </c>
      <c r="P237" s="25">
        <v>5.5399999999999998E-2</v>
      </c>
      <c r="Q237" s="25">
        <v>-0.3427</v>
      </c>
      <c r="R237" s="26">
        <v>4223.93</v>
      </c>
      <c r="S237" s="26">
        <v>717552000</v>
      </c>
      <c r="T237">
        <v>4.25</v>
      </c>
      <c r="U237" s="25">
        <v>0.13370000000000001</v>
      </c>
    </row>
    <row r="238" spans="1:21" x14ac:dyDescent="0.25">
      <c r="A238" t="s">
        <v>47</v>
      </c>
      <c r="B238">
        <v>10.98</v>
      </c>
      <c r="C238">
        <v>99.53</v>
      </c>
      <c r="D238">
        <v>1.45</v>
      </c>
      <c r="E238">
        <v>14.282999999999999</v>
      </c>
      <c r="F238" s="25">
        <v>6.6E-3</v>
      </c>
      <c r="G238">
        <v>1.105</v>
      </c>
      <c r="H238">
        <v>-71.19</v>
      </c>
      <c r="I238">
        <v>28</v>
      </c>
      <c r="J238">
        <v>-6.38</v>
      </c>
      <c r="K238">
        <v>30.59</v>
      </c>
      <c r="L238">
        <v>28.14</v>
      </c>
      <c r="M238" s="25">
        <v>0.51</v>
      </c>
      <c r="N238" s="25">
        <v>0.14349999999999999</v>
      </c>
      <c r="O238">
        <v>0.8</v>
      </c>
      <c r="P238" s="25">
        <v>3.9699999999999999E-2</v>
      </c>
      <c r="Q238" s="25">
        <v>1.46E-2</v>
      </c>
      <c r="R238" s="26">
        <v>1456340</v>
      </c>
      <c r="S238" s="26">
        <v>729614000</v>
      </c>
      <c r="T238">
        <v>0.14000000000000001</v>
      </c>
      <c r="U238" s="25">
        <v>-7.0300000000000001E-2</v>
      </c>
    </row>
    <row r="239" spans="1:21" x14ac:dyDescent="0.25">
      <c r="A239" t="s">
        <v>89</v>
      </c>
      <c r="B239">
        <v>11.84</v>
      </c>
      <c r="C239">
        <v>6.44</v>
      </c>
      <c r="D239">
        <v>1.55</v>
      </c>
      <c r="E239">
        <v>1.4470000000000001</v>
      </c>
      <c r="F239" s="25">
        <v>8.6699999999999999E-2</v>
      </c>
      <c r="G239">
        <v>0.65600000000000003</v>
      </c>
      <c r="H239">
        <v>1.08</v>
      </c>
      <c r="I239">
        <v>6.67</v>
      </c>
      <c r="J239">
        <v>2.4700000000000002</v>
      </c>
      <c r="K239">
        <v>6.69</v>
      </c>
      <c r="L239">
        <v>6.67</v>
      </c>
      <c r="M239" s="25">
        <v>0.21690000000000001</v>
      </c>
      <c r="N239" s="25">
        <v>0.2606</v>
      </c>
      <c r="O239">
        <v>4.8499999999999996</v>
      </c>
      <c r="P239" s="25">
        <v>0.12559999999999999</v>
      </c>
      <c r="Q239" s="25">
        <v>0.2407</v>
      </c>
      <c r="R239" s="26">
        <v>8179220</v>
      </c>
      <c r="S239" s="26">
        <v>1493340000</v>
      </c>
      <c r="T239">
        <v>0.48</v>
      </c>
      <c r="U239" s="25">
        <v>0.3831</v>
      </c>
    </row>
    <row r="240" spans="1:21" x14ac:dyDescent="0.25">
      <c r="A240" t="s">
        <v>18</v>
      </c>
      <c r="B240">
        <v>30.25</v>
      </c>
      <c r="C240">
        <v>8.2100000000000009</v>
      </c>
      <c r="D240">
        <v>4.62</v>
      </c>
      <c r="E240">
        <v>0.85299999999999998</v>
      </c>
      <c r="F240" s="25">
        <v>8.72E-2</v>
      </c>
      <c r="G240">
        <v>1.1040000000000001</v>
      </c>
      <c r="H240">
        <v>7.15</v>
      </c>
      <c r="I240">
        <v>4.99</v>
      </c>
      <c r="J240">
        <v>-7.54</v>
      </c>
      <c r="K240">
        <v>5.85</v>
      </c>
      <c r="L240">
        <v>5.14</v>
      </c>
      <c r="M240" s="25">
        <v>0.17100000000000001</v>
      </c>
      <c r="N240" s="25">
        <v>0.104</v>
      </c>
      <c r="O240">
        <v>1.34</v>
      </c>
      <c r="P240" s="25">
        <v>0.34749999999999998</v>
      </c>
      <c r="Q240" s="25">
        <v>0.56359999999999999</v>
      </c>
      <c r="R240" s="26">
        <v>10551100</v>
      </c>
      <c r="S240" s="26">
        <v>886641000</v>
      </c>
      <c r="T240">
        <v>1.1599999999999999</v>
      </c>
      <c r="U240" s="25">
        <v>0.14410000000000001</v>
      </c>
    </row>
    <row r="241" spans="1:21" x14ac:dyDescent="0.25">
      <c r="A241" t="s">
        <v>156</v>
      </c>
      <c r="B241">
        <v>7.02</v>
      </c>
      <c r="C241">
        <v>1.08</v>
      </c>
      <c r="D241">
        <v>0.46</v>
      </c>
      <c r="E241">
        <v>0.17100000000000001</v>
      </c>
      <c r="F241" s="25">
        <v>0</v>
      </c>
      <c r="G241">
        <v>9.7000000000000003E-2</v>
      </c>
      <c r="H241">
        <v>1.01</v>
      </c>
      <c r="I241">
        <v>1.35</v>
      </c>
      <c r="J241">
        <v>-0.21</v>
      </c>
      <c r="K241">
        <v>4.66</v>
      </c>
      <c r="L241">
        <v>3.17</v>
      </c>
      <c r="M241" s="25">
        <v>0.1263</v>
      </c>
      <c r="N241" s="25">
        <v>0.15820000000000001</v>
      </c>
      <c r="O241">
        <v>1.44</v>
      </c>
      <c r="P241" s="25">
        <v>9.2100000000000001E-2</v>
      </c>
      <c r="Q241" s="25">
        <v>0.42920000000000003</v>
      </c>
      <c r="R241" s="26">
        <v>6151130</v>
      </c>
      <c r="S241" s="26">
        <v>5639690000</v>
      </c>
      <c r="T241">
        <v>1.77</v>
      </c>
      <c r="U241" s="25">
        <v>1.54E-2</v>
      </c>
    </row>
    <row r="242" spans="1:21" x14ac:dyDescent="0.25">
      <c r="A242" t="s">
        <v>413</v>
      </c>
      <c r="B242">
        <v>36.01</v>
      </c>
      <c r="C242">
        <v>16.64</v>
      </c>
      <c r="D242">
        <v>1.82</v>
      </c>
      <c r="E242">
        <v>0</v>
      </c>
      <c r="F242" s="25">
        <v>3.95E-2</v>
      </c>
      <c r="G242">
        <v>1.706</v>
      </c>
      <c r="H242">
        <v>6.65</v>
      </c>
      <c r="I242">
        <v>-54.89</v>
      </c>
      <c r="J242">
        <v>7.07</v>
      </c>
      <c r="K242">
        <v>-45.91</v>
      </c>
      <c r="L242">
        <v>-45.91</v>
      </c>
      <c r="M242" s="25">
        <v>0</v>
      </c>
      <c r="N242" s="25">
        <v>0</v>
      </c>
      <c r="O242">
        <v>6.18</v>
      </c>
      <c r="P242" s="25">
        <v>-4.3099999999999999E-2</v>
      </c>
      <c r="Q242" s="25">
        <v>0.1096</v>
      </c>
      <c r="R242" s="26">
        <v>1121.43</v>
      </c>
      <c r="S242" s="26">
        <v>232276000</v>
      </c>
      <c r="T242">
        <v>0</v>
      </c>
      <c r="U242" s="25">
        <v>0</v>
      </c>
    </row>
    <row r="243" spans="1:21" x14ac:dyDescent="0.25">
      <c r="A243" t="s">
        <v>253</v>
      </c>
      <c r="B243">
        <v>2.5099999999999998</v>
      </c>
      <c r="C243">
        <v>-5.77</v>
      </c>
      <c r="D243">
        <v>0.91</v>
      </c>
      <c r="E243">
        <v>0.17799999999999999</v>
      </c>
      <c r="F243" s="25">
        <v>4.8599999999999997E-2</v>
      </c>
      <c r="G243">
        <v>0.14299999999999999</v>
      </c>
      <c r="H243">
        <v>0.59</v>
      </c>
      <c r="I243">
        <v>6.7</v>
      </c>
      <c r="J243">
        <v>-0.95</v>
      </c>
      <c r="K243">
        <v>9.02</v>
      </c>
      <c r="L243">
        <v>3.18</v>
      </c>
      <c r="M243" s="25">
        <v>2.6599999999999999E-2</v>
      </c>
      <c r="N243" s="25">
        <v>-3.09E-2</v>
      </c>
      <c r="O243">
        <v>1.54</v>
      </c>
      <c r="P243" s="25">
        <v>2.64E-2</v>
      </c>
      <c r="Q243" s="25">
        <v>-0.15840000000000001</v>
      </c>
      <c r="R243" s="26">
        <v>8710190</v>
      </c>
      <c r="S243" s="26">
        <v>536003000</v>
      </c>
      <c r="T243">
        <v>0.93</v>
      </c>
      <c r="U243" s="25">
        <v>0.1094</v>
      </c>
    </row>
    <row r="244" spans="1:21" x14ac:dyDescent="0.25">
      <c r="A244" t="s">
        <v>143</v>
      </c>
      <c r="B244">
        <v>20.73</v>
      </c>
      <c r="C244">
        <v>4.8600000000000003</v>
      </c>
      <c r="D244">
        <v>0.5</v>
      </c>
      <c r="E244">
        <v>8.2330000000000005</v>
      </c>
      <c r="F244" s="25">
        <v>9.4200000000000006E-2</v>
      </c>
      <c r="G244">
        <v>0.27</v>
      </c>
      <c r="H244">
        <v>13.05</v>
      </c>
      <c r="I244">
        <v>11.43</v>
      </c>
      <c r="J244">
        <v>-0.85</v>
      </c>
      <c r="K244">
        <v>23.45</v>
      </c>
      <c r="L244">
        <v>22.57</v>
      </c>
      <c r="M244" s="25">
        <v>0.72060000000000002</v>
      </c>
      <c r="N244" s="25">
        <v>1.6971000000000001</v>
      </c>
      <c r="O244">
        <v>1.18</v>
      </c>
      <c r="P244" s="25">
        <v>2.4199999999999999E-2</v>
      </c>
      <c r="Q244" s="25">
        <v>0.10199999999999999</v>
      </c>
      <c r="R244" s="26">
        <v>4862680</v>
      </c>
      <c r="S244" s="26">
        <v>3672920000</v>
      </c>
      <c r="T244">
        <v>0.55000000000000004</v>
      </c>
      <c r="U244" s="25">
        <v>0.12239999999999999</v>
      </c>
    </row>
    <row r="245" spans="1:21" x14ac:dyDescent="0.25">
      <c r="A245" t="s">
        <v>212</v>
      </c>
      <c r="B245">
        <v>25.51</v>
      </c>
      <c r="C245">
        <v>38.11</v>
      </c>
      <c r="D245">
        <v>2.71</v>
      </c>
      <c r="E245">
        <v>0.95699999999999996</v>
      </c>
      <c r="F245" s="25">
        <v>0</v>
      </c>
      <c r="G245">
        <v>0.69399999999999995</v>
      </c>
      <c r="H245">
        <v>25.92</v>
      </c>
      <c r="I245">
        <v>10.26</v>
      </c>
      <c r="J245">
        <v>-1.44</v>
      </c>
      <c r="K245">
        <v>15.3</v>
      </c>
      <c r="L245">
        <v>7.37</v>
      </c>
      <c r="M245" s="25">
        <v>9.3200000000000005E-2</v>
      </c>
      <c r="N245" s="25">
        <v>2.5100000000000001E-2</v>
      </c>
      <c r="O245">
        <v>1.1100000000000001</v>
      </c>
      <c r="P245" s="25">
        <v>7.6499999999999999E-2</v>
      </c>
      <c r="Q245" s="25">
        <v>7.0999999999999994E-2</v>
      </c>
      <c r="R245" s="26">
        <v>334335</v>
      </c>
      <c r="S245" s="26">
        <v>1011710000</v>
      </c>
      <c r="T245">
        <v>1.66</v>
      </c>
      <c r="U245" s="25">
        <v>0.2581</v>
      </c>
    </row>
    <row r="246" spans="1:21" x14ac:dyDescent="0.25">
      <c r="A246" t="s">
        <v>163</v>
      </c>
      <c r="B246">
        <v>1.65</v>
      </c>
      <c r="C246">
        <v>11.77</v>
      </c>
      <c r="D246">
        <v>1.05</v>
      </c>
      <c r="E246">
        <v>1.2010000000000001</v>
      </c>
      <c r="F246" s="25">
        <v>4.41E-2</v>
      </c>
      <c r="G246">
        <v>0.59</v>
      </c>
      <c r="H246">
        <v>5.4</v>
      </c>
      <c r="I246">
        <v>6.32</v>
      </c>
      <c r="J246">
        <v>-4.16</v>
      </c>
      <c r="K246">
        <v>4.32</v>
      </c>
      <c r="L246">
        <v>2.86</v>
      </c>
      <c r="M246" s="25">
        <v>0.19009999999999999</v>
      </c>
      <c r="N246" s="25">
        <v>0.16400000000000001</v>
      </c>
      <c r="O246">
        <v>1.56</v>
      </c>
      <c r="P246" s="25">
        <v>0.1168</v>
      </c>
      <c r="Q246" s="25">
        <v>8.8999999999999996E-2</v>
      </c>
      <c r="R246" s="26">
        <v>239684</v>
      </c>
      <c r="S246" s="26">
        <v>232403000</v>
      </c>
      <c r="T246">
        <v>0</v>
      </c>
      <c r="U246" s="25">
        <v>-3.5000000000000001E-3</v>
      </c>
    </row>
    <row r="247" spans="1:21" x14ac:dyDescent="0.25">
      <c r="A247" t="s">
        <v>205</v>
      </c>
      <c r="B247">
        <v>18.36</v>
      </c>
      <c r="C247">
        <v>15.22</v>
      </c>
      <c r="D247">
        <v>1.89</v>
      </c>
      <c r="E247">
        <v>1.3160000000000001</v>
      </c>
      <c r="F247" s="25">
        <v>3.56E-2</v>
      </c>
      <c r="G247">
        <v>1.054</v>
      </c>
      <c r="H247">
        <v>4.5999999999999996</v>
      </c>
      <c r="I247">
        <v>6.14</v>
      </c>
      <c r="J247">
        <v>8.23</v>
      </c>
      <c r="K247">
        <v>5.76</v>
      </c>
      <c r="L247">
        <v>4.13</v>
      </c>
      <c r="M247" s="25">
        <v>0.21429999999999999</v>
      </c>
      <c r="N247" s="25">
        <v>8.6499999999999994E-2</v>
      </c>
      <c r="O247">
        <v>1.67</v>
      </c>
      <c r="P247" s="25">
        <v>0.2056</v>
      </c>
      <c r="Q247" s="25">
        <v>0.1245</v>
      </c>
      <c r="R247" s="26">
        <v>248376000</v>
      </c>
      <c r="S247" s="26">
        <v>10265800000</v>
      </c>
      <c r="T247">
        <v>0.04</v>
      </c>
      <c r="U247" s="25">
        <v>0.1731</v>
      </c>
    </row>
    <row r="248" spans="1:21" x14ac:dyDescent="0.25">
      <c r="A248" t="s">
        <v>191</v>
      </c>
      <c r="B248">
        <v>1.21</v>
      </c>
      <c r="C248">
        <v>-1.48</v>
      </c>
      <c r="D248">
        <v>0.44</v>
      </c>
      <c r="E248">
        <v>0.496</v>
      </c>
      <c r="F248" s="25">
        <v>0</v>
      </c>
      <c r="G248">
        <v>0.105</v>
      </c>
      <c r="H248">
        <v>3.28</v>
      </c>
      <c r="I248">
        <v>-3.05</v>
      </c>
      <c r="J248">
        <v>-0.22</v>
      </c>
      <c r="K248">
        <v>-13.36</v>
      </c>
      <c r="L248">
        <v>-13.35</v>
      </c>
      <c r="M248" s="25">
        <v>-0.16259999999999999</v>
      </c>
      <c r="N248" s="25">
        <v>-0.33560000000000001</v>
      </c>
      <c r="O248">
        <v>1.1299999999999999</v>
      </c>
      <c r="P248" s="25">
        <v>-3.5999999999999997E-2</v>
      </c>
      <c r="Q248" s="25">
        <v>-0.2949</v>
      </c>
      <c r="R248" s="26">
        <v>142522</v>
      </c>
      <c r="S248" s="26">
        <v>121242000</v>
      </c>
      <c r="T248">
        <v>1.49</v>
      </c>
      <c r="U248" s="25">
        <v>0.11890000000000001</v>
      </c>
    </row>
    <row r="249" spans="1:21" x14ac:dyDescent="0.25">
      <c r="A249" t="s">
        <v>414</v>
      </c>
      <c r="B249">
        <v>5</v>
      </c>
      <c r="C249">
        <v>5.69</v>
      </c>
      <c r="D249">
        <v>1.32</v>
      </c>
      <c r="E249">
        <v>1.5369999999999999</v>
      </c>
      <c r="F249" s="25">
        <v>2.3199999999999998E-2</v>
      </c>
      <c r="G249">
        <v>0.93700000000000006</v>
      </c>
      <c r="H249">
        <v>21.9</v>
      </c>
      <c r="I249">
        <v>11.03</v>
      </c>
      <c r="J249">
        <v>-6.46</v>
      </c>
      <c r="K249">
        <v>11.07</v>
      </c>
      <c r="L249">
        <v>5.88</v>
      </c>
      <c r="M249" s="25">
        <v>0.13930000000000001</v>
      </c>
      <c r="N249" s="25">
        <v>0.26989999999999997</v>
      </c>
      <c r="O249">
        <v>1.41</v>
      </c>
      <c r="P249" s="25">
        <v>9.5500000000000002E-2</v>
      </c>
      <c r="Q249" s="25">
        <v>0.2324</v>
      </c>
      <c r="R249" s="26">
        <v>7498.36</v>
      </c>
      <c r="S249" s="26">
        <v>157085000</v>
      </c>
      <c r="T249">
        <v>0.12</v>
      </c>
      <c r="U249" s="25">
        <v>5.0099999999999999E-2</v>
      </c>
    </row>
    <row r="250" spans="1:21" x14ac:dyDescent="0.25">
      <c r="A250" t="s">
        <v>178</v>
      </c>
      <c r="B250">
        <v>3.86</v>
      </c>
      <c r="C250">
        <v>7.64</v>
      </c>
      <c r="D250">
        <v>0.37</v>
      </c>
      <c r="E250">
        <v>0.29099999999999998</v>
      </c>
      <c r="F250" s="25">
        <v>4.9200000000000001E-2</v>
      </c>
      <c r="G250">
        <v>0.16300000000000001</v>
      </c>
      <c r="H250">
        <v>0.78</v>
      </c>
      <c r="I250">
        <v>1.25</v>
      </c>
      <c r="J250">
        <v>-2.21</v>
      </c>
      <c r="K250">
        <v>0.51</v>
      </c>
      <c r="L250">
        <v>0.25</v>
      </c>
      <c r="M250" s="25">
        <v>0.23200000000000001</v>
      </c>
      <c r="N250" s="25">
        <v>3.8100000000000002E-2</v>
      </c>
      <c r="O250">
        <v>1.76</v>
      </c>
      <c r="P250" s="25">
        <v>0.15579999999999999</v>
      </c>
      <c r="Q250" s="25">
        <v>4.8399999999999999E-2</v>
      </c>
      <c r="R250" s="26">
        <v>311944</v>
      </c>
      <c r="S250" s="26">
        <v>662855000</v>
      </c>
      <c r="T250">
        <v>0</v>
      </c>
      <c r="U250" s="25">
        <v>-9.2299999999999993E-2</v>
      </c>
    </row>
    <row r="251" spans="1:21" x14ac:dyDescent="0.25">
      <c r="A251" t="s">
        <v>162</v>
      </c>
      <c r="B251">
        <v>4.08</v>
      </c>
      <c r="C251">
        <v>70.59</v>
      </c>
      <c r="D251">
        <v>0.84</v>
      </c>
      <c r="E251">
        <v>1.6419999999999999</v>
      </c>
      <c r="F251" s="25">
        <v>1.7600000000000001E-2</v>
      </c>
      <c r="G251">
        <v>0.57499999999999996</v>
      </c>
      <c r="H251">
        <v>11.83</v>
      </c>
      <c r="I251">
        <v>18.690000000000001</v>
      </c>
      <c r="J251">
        <v>32.659999999999997</v>
      </c>
      <c r="K251">
        <v>15.47</v>
      </c>
      <c r="L251">
        <v>7.42</v>
      </c>
      <c r="M251" s="25">
        <v>8.7900000000000006E-2</v>
      </c>
      <c r="N251" s="25">
        <v>2.3300000000000001E-2</v>
      </c>
      <c r="O251">
        <v>1.17</v>
      </c>
      <c r="P251" s="25">
        <v>3.5299999999999998E-2</v>
      </c>
      <c r="Q251" s="25">
        <v>1.1900000000000001E-2</v>
      </c>
      <c r="R251" s="26">
        <v>31980700</v>
      </c>
      <c r="S251" s="26">
        <v>2736470000</v>
      </c>
      <c r="T251">
        <v>0.03</v>
      </c>
      <c r="U251" s="25">
        <v>0.2555</v>
      </c>
    </row>
    <row r="252" spans="1:21" x14ac:dyDescent="0.25">
      <c r="A252" t="s">
        <v>415</v>
      </c>
      <c r="B252">
        <v>3.05</v>
      </c>
      <c r="C252">
        <v>-17.41</v>
      </c>
      <c r="D252">
        <v>-0.43</v>
      </c>
      <c r="E252">
        <v>0</v>
      </c>
      <c r="F252" s="25">
        <v>0</v>
      </c>
      <c r="G252">
        <v>3.621</v>
      </c>
      <c r="H252">
        <v>-49.17</v>
      </c>
      <c r="I252">
        <v>-22.79</v>
      </c>
      <c r="J252">
        <v>-0.39</v>
      </c>
      <c r="K252">
        <v>-22.78</v>
      </c>
      <c r="L252">
        <v>-22.78</v>
      </c>
      <c r="M252" s="25">
        <v>0</v>
      </c>
      <c r="N252" s="25">
        <v>0</v>
      </c>
      <c r="O252">
        <v>0.02</v>
      </c>
      <c r="P252" s="25">
        <v>-0.1595</v>
      </c>
      <c r="Q252" s="25">
        <v>2.4899999999999999E-2</v>
      </c>
      <c r="R252" s="26">
        <v>95</v>
      </c>
      <c r="S252" s="26">
        <v>-6474000</v>
      </c>
      <c r="T252">
        <v>0</v>
      </c>
      <c r="U252" s="25">
        <v>0</v>
      </c>
    </row>
    <row r="253" spans="1:21" x14ac:dyDescent="0.25">
      <c r="A253" t="s">
        <v>416</v>
      </c>
      <c r="B253">
        <v>5.51</v>
      </c>
      <c r="C253">
        <v>-31.45</v>
      </c>
      <c r="D253">
        <v>-0.78</v>
      </c>
      <c r="E253">
        <v>0</v>
      </c>
      <c r="F253" s="25">
        <v>0</v>
      </c>
      <c r="G253">
        <v>6.5419999999999998</v>
      </c>
      <c r="H253">
        <v>-88.84</v>
      </c>
      <c r="I253">
        <v>-41.17</v>
      </c>
      <c r="J253">
        <v>-0.7</v>
      </c>
      <c r="K253">
        <v>-41.16</v>
      </c>
      <c r="L253">
        <v>-41.16</v>
      </c>
      <c r="M253" s="25">
        <v>0</v>
      </c>
      <c r="N253" s="25">
        <v>0</v>
      </c>
      <c r="O253">
        <v>0.02</v>
      </c>
      <c r="P253" s="25">
        <v>-0.1595</v>
      </c>
      <c r="Q253" s="25">
        <v>2.4899999999999999E-2</v>
      </c>
      <c r="R253" s="26">
        <v>3038.19</v>
      </c>
      <c r="S253" s="26">
        <v>-6474000</v>
      </c>
      <c r="T253">
        <v>0</v>
      </c>
      <c r="U253" s="25">
        <v>0</v>
      </c>
    </row>
    <row r="254" spans="1:21" x14ac:dyDescent="0.25">
      <c r="A254" t="s">
        <v>188</v>
      </c>
      <c r="B254">
        <v>4.4000000000000004</v>
      </c>
      <c r="C254">
        <v>-4.1399999999999997</v>
      </c>
      <c r="D254">
        <v>1.03</v>
      </c>
      <c r="E254">
        <v>0.69699999999999995</v>
      </c>
      <c r="F254" s="25">
        <v>1.7000000000000001E-2</v>
      </c>
      <c r="G254">
        <v>0.34100000000000003</v>
      </c>
      <c r="H254" s="26">
        <v>1.49</v>
      </c>
      <c r="I254">
        <v>4.55</v>
      </c>
      <c r="J254">
        <v>-1.0900000000000001</v>
      </c>
      <c r="K254">
        <v>6.87</v>
      </c>
      <c r="L254">
        <v>5.16</v>
      </c>
      <c r="M254" s="25">
        <v>0.153</v>
      </c>
      <c r="N254" s="25">
        <v>-0.16320000000000001</v>
      </c>
      <c r="O254">
        <v>2.95</v>
      </c>
      <c r="P254" s="25">
        <v>9.1899999999999996E-2</v>
      </c>
      <c r="Q254" s="25">
        <v>-0.248</v>
      </c>
      <c r="R254" s="26">
        <v>1706290</v>
      </c>
      <c r="S254" s="26">
        <v>1454640000</v>
      </c>
      <c r="T254">
        <v>0.98</v>
      </c>
      <c r="U254" s="25">
        <v>0.33379999999999999</v>
      </c>
    </row>
    <row r="255" spans="1:21" x14ac:dyDescent="0.25">
      <c r="A255" t="s">
        <v>132</v>
      </c>
      <c r="B255">
        <v>0.99</v>
      </c>
      <c r="C255">
        <v>-0.95</v>
      </c>
      <c r="D255">
        <v>374.17</v>
      </c>
      <c r="E255">
        <v>0.182</v>
      </c>
      <c r="F255" s="25">
        <v>0</v>
      </c>
      <c r="G255">
        <v>62.78</v>
      </c>
      <c r="H255" s="26">
        <v>1785.45</v>
      </c>
      <c r="I255">
        <v>-2.65</v>
      </c>
      <c r="J255">
        <v>-106.33</v>
      </c>
      <c r="K255">
        <v>-2.66</v>
      </c>
      <c r="L255">
        <v>3</v>
      </c>
      <c r="M255" s="25">
        <v>-6.88E-2</v>
      </c>
      <c r="N255" s="25">
        <v>-0.21429999999999999</v>
      </c>
      <c r="O255">
        <v>1.1200000000000001</v>
      </c>
      <c r="P255" s="25">
        <v>-26.575500000000002</v>
      </c>
      <c r="Q255" s="25">
        <v>-393.87700000000001</v>
      </c>
      <c r="R255" s="26">
        <v>393897</v>
      </c>
      <c r="S255" s="26">
        <v>324818</v>
      </c>
      <c r="T255">
        <v>1.94</v>
      </c>
      <c r="U255" s="25">
        <v>-2.3900000000000001E-2</v>
      </c>
    </row>
    <row r="256" spans="1:21" x14ac:dyDescent="0.25">
      <c r="A256" t="s">
        <v>85</v>
      </c>
      <c r="B256">
        <v>23.11</v>
      </c>
      <c r="C256">
        <v>13.98</v>
      </c>
      <c r="D256">
        <v>0.98</v>
      </c>
      <c r="E256">
        <v>0.80500000000000005</v>
      </c>
      <c r="F256" s="25">
        <v>2.5100000000000001E-2</v>
      </c>
      <c r="G256">
        <v>0.61199999999999999</v>
      </c>
      <c r="H256">
        <v>2.4700000000000002</v>
      </c>
      <c r="I256">
        <v>9.15</v>
      </c>
      <c r="J256">
        <v>7.35</v>
      </c>
      <c r="K256">
        <v>9.17</v>
      </c>
      <c r="L256">
        <v>6.36</v>
      </c>
      <c r="M256" s="25">
        <v>8.7999999999999995E-2</v>
      </c>
      <c r="N256" s="25">
        <v>5.7599999999999998E-2</v>
      </c>
      <c r="O256">
        <v>2.15</v>
      </c>
      <c r="P256" s="25">
        <v>9.0499999999999997E-2</v>
      </c>
      <c r="Q256" s="25">
        <v>7.0400000000000004E-2</v>
      </c>
      <c r="R256" s="26">
        <v>13172100</v>
      </c>
      <c r="S256" s="26">
        <v>7956180000</v>
      </c>
      <c r="T256">
        <v>0.28999999999999998</v>
      </c>
      <c r="U256" s="25">
        <v>9.1300000000000006E-2</v>
      </c>
    </row>
    <row r="257" spans="1:21" x14ac:dyDescent="0.25">
      <c r="A257" t="s">
        <v>171</v>
      </c>
      <c r="B257">
        <v>22.7</v>
      </c>
      <c r="C257">
        <v>6.9</v>
      </c>
      <c r="D257">
        <v>1.2</v>
      </c>
      <c r="E257">
        <v>1.133</v>
      </c>
      <c r="F257" s="25">
        <v>5.4699999999999999E-2</v>
      </c>
      <c r="G257">
        <v>0.45800000000000002</v>
      </c>
      <c r="H257">
        <v>1.52</v>
      </c>
      <c r="I257">
        <v>6.09</v>
      </c>
      <c r="J257">
        <v>-3.45</v>
      </c>
      <c r="K257">
        <v>6.49</v>
      </c>
      <c r="L257">
        <v>6.26</v>
      </c>
      <c r="M257" s="25">
        <v>0.18609999999999999</v>
      </c>
      <c r="N257" s="25">
        <v>0.16420000000000001</v>
      </c>
      <c r="O257">
        <v>2.62</v>
      </c>
      <c r="P257" s="25">
        <v>8.6800000000000002E-2</v>
      </c>
      <c r="Q257" s="25">
        <v>0.17330000000000001</v>
      </c>
      <c r="R257" s="26">
        <v>13363700</v>
      </c>
      <c r="S257" s="26">
        <v>1611720000</v>
      </c>
      <c r="T257">
        <v>0.33</v>
      </c>
      <c r="U257" s="25">
        <v>0.31069999999999998</v>
      </c>
    </row>
    <row r="258" spans="1:21" x14ac:dyDescent="0.25">
      <c r="A258" t="s">
        <v>41</v>
      </c>
      <c r="B258">
        <v>1.1299999999999999</v>
      </c>
      <c r="C258">
        <v>-3.72</v>
      </c>
      <c r="D258">
        <v>0.33</v>
      </c>
      <c r="E258">
        <v>0.14599999999999999</v>
      </c>
      <c r="F258" s="25">
        <v>0</v>
      </c>
      <c r="G258">
        <v>0.122</v>
      </c>
      <c r="H258">
        <v>-1.52</v>
      </c>
      <c r="I258">
        <v>-3.03</v>
      </c>
      <c r="J258">
        <v>-0.26</v>
      </c>
      <c r="K258">
        <v>-6.7</v>
      </c>
      <c r="L258">
        <v>5.0599999999999996</v>
      </c>
      <c r="M258" s="25">
        <v>-4.82E-2</v>
      </c>
      <c r="N258" s="25">
        <v>-3.9199999999999999E-2</v>
      </c>
      <c r="O258">
        <v>0.66</v>
      </c>
      <c r="P258" s="25">
        <v>-4.7500000000000001E-2</v>
      </c>
      <c r="Q258" s="25">
        <v>-8.8099999999999998E-2</v>
      </c>
      <c r="R258" s="26">
        <v>692596</v>
      </c>
      <c r="S258" s="26">
        <v>987889000</v>
      </c>
      <c r="T258">
        <v>0.59</v>
      </c>
      <c r="U258" s="25">
        <v>0.1593</v>
      </c>
    </row>
    <row r="259" spans="1:21" x14ac:dyDescent="0.25">
      <c r="A259" t="s">
        <v>102</v>
      </c>
      <c r="B259">
        <v>3.33</v>
      </c>
      <c r="C259">
        <v>12.61</v>
      </c>
      <c r="D259">
        <v>0.63</v>
      </c>
      <c r="E259">
        <v>0.68100000000000005</v>
      </c>
      <c r="F259" s="25">
        <v>0.32019999999999998</v>
      </c>
      <c r="G259">
        <v>0.27600000000000002</v>
      </c>
      <c r="H259">
        <v>0.56000000000000005</v>
      </c>
      <c r="I259">
        <v>10.79</v>
      </c>
      <c r="J259">
        <v>1.04</v>
      </c>
      <c r="K259">
        <v>10.78</v>
      </c>
      <c r="L259">
        <v>10.16</v>
      </c>
      <c r="M259" s="25">
        <v>6.3100000000000003E-2</v>
      </c>
      <c r="N259" s="25">
        <v>0.11459999999999999</v>
      </c>
      <c r="O259">
        <v>2.78</v>
      </c>
      <c r="P259" s="25">
        <v>3.0599999999999999E-2</v>
      </c>
      <c r="Q259" s="25">
        <v>5.0299999999999997E-2</v>
      </c>
      <c r="R259" s="26">
        <v>1244750</v>
      </c>
      <c r="S259" s="26">
        <v>1083040000</v>
      </c>
      <c r="T259">
        <v>0.32</v>
      </c>
      <c r="U259" s="25">
        <v>0.1419</v>
      </c>
    </row>
    <row r="260" spans="1:21" x14ac:dyDescent="0.25">
      <c r="A260" t="s">
        <v>417</v>
      </c>
      <c r="B260">
        <v>9.5</v>
      </c>
      <c r="C260">
        <v>12.92</v>
      </c>
      <c r="D260">
        <v>0.67</v>
      </c>
      <c r="E260">
        <v>0</v>
      </c>
      <c r="F260" s="25">
        <v>5.57E-2</v>
      </c>
      <c r="G260">
        <v>0</v>
      </c>
      <c r="H260">
        <v>0</v>
      </c>
      <c r="I260">
        <v>0</v>
      </c>
      <c r="J260">
        <v>0</v>
      </c>
      <c r="K260">
        <v>0</v>
      </c>
      <c r="L260">
        <v>0</v>
      </c>
      <c r="M260" s="25">
        <v>0</v>
      </c>
      <c r="N260" s="25">
        <v>0</v>
      </c>
      <c r="O260">
        <v>0</v>
      </c>
      <c r="P260" s="25">
        <v>0</v>
      </c>
      <c r="Q260" s="25">
        <v>5.1900000000000002E-2</v>
      </c>
      <c r="R260" s="26">
        <v>480</v>
      </c>
      <c r="S260" s="26">
        <v>581333000</v>
      </c>
      <c r="T260">
        <v>0</v>
      </c>
      <c r="U260" s="25">
        <v>0.11169999999999999</v>
      </c>
    </row>
    <row r="261" spans="1:21" x14ac:dyDescent="0.25">
      <c r="A261" t="s">
        <v>262</v>
      </c>
      <c r="B261">
        <v>5.08</v>
      </c>
      <c r="C261">
        <v>-1.17</v>
      </c>
      <c r="D261">
        <v>3.15</v>
      </c>
      <c r="E261">
        <v>0.03</v>
      </c>
      <c r="F261" s="25">
        <v>0</v>
      </c>
      <c r="G261">
        <v>3.7999999999999999E-2</v>
      </c>
      <c r="H261">
        <v>0.22</v>
      </c>
      <c r="I261">
        <v>0.39</v>
      </c>
      <c r="J261">
        <v>-7.0000000000000007E-2</v>
      </c>
      <c r="K261">
        <v>7.97</v>
      </c>
      <c r="L261">
        <v>6.18</v>
      </c>
      <c r="M261" s="25">
        <v>7.6999999999999999E-2</v>
      </c>
      <c r="N261" s="25">
        <v>-2.5899999999999999E-2</v>
      </c>
      <c r="O261">
        <v>1.56</v>
      </c>
      <c r="P261" s="25">
        <v>0.1167</v>
      </c>
      <c r="Q261" s="25">
        <v>-2.6882999999999999</v>
      </c>
      <c r="R261" s="26">
        <v>20773.900000000001</v>
      </c>
      <c r="S261" s="26">
        <v>9319000</v>
      </c>
      <c r="T261">
        <v>66.91</v>
      </c>
      <c r="U261" s="25">
        <v>9.9000000000000005E-2</v>
      </c>
    </row>
    <row r="262" spans="1:21" x14ac:dyDescent="0.25">
      <c r="A262" t="s">
        <v>418</v>
      </c>
      <c r="B262">
        <v>8.94</v>
      </c>
      <c r="C262">
        <v>15.24</v>
      </c>
      <c r="D262">
        <v>0.57999999999999996</v>
      </c>
      <c r="E262">
        <v>0.17299999999999999</v>
      </c>
      <c r="F262" s="25">
        <v>3.4200000000000001E-2</v>
      </c>
      <c r="G262">
        <v>0.186</v>
      </c>
      <c r="H262">
        <v>2.1800000000000002</v>
      </c>
      <c r="I262">
        <v>3.66</v>
      </c>
      <c r="J262">
        <v>-1.07</v>
      </c>
      <c r="K262">
        <v>5.24</v>
      </c>
      <c r="L262">
        <v>3.01</v>
      </c>
      <c r="M262" s="25">
        <v>4.7300000000000002E-2</v>
      </c>
      <c r="N262" s="25">
        <v>1.14E-2</v>
      </c>
      <c r="O262">
        <v>1.2</v>
      </c>
      <c r="P262" s="25">
        <v>7.2499999999999995E-2</v>
      </c>
      <c r="Q262" s="25">
        <v>3.8199999999999998E-2</v>
      </c>
      <c r="R262" s="26">
        <v>287630000</v>
      </c>
      <c r="S262" s="26">
        <v>11357900000</v>
      </c>
      <c r="T262">
        <v>0.4</v>
      </c>
      <c r="U262" s="25">
        <v>3.7999999999999999E-2</v>
      </c>
    </row>
    <row r="263" spans="1:21" x14ac:dyDescent="0.25">
      <c r="A263" t="s">
        <v>159</v>
      </c>
      <c r="B263">
        <v>10.66</v>
      </c>
      <c r="C263">
        <v>8.76</v>
      </c>
      <c r="D263">
        <v>1.68</v>
      </c>
      <c r="E263">
        <v>1.5269999999999999</v>
      </c>
      <c r="F263" s="25">
        <v>5.7700000000000001E-2</v>
      </c>
      <c r="G263">
        <v>0.64100000000000001</v>
      </c>
      <c r="H263">
        <v>3.34</v>
      </c>
      <c r="I263">
        <v>4.47</v>
      </c>
      <c r="J263">
        <v>-2.46</v>
      </c>
      <c r="K263">
        <v>6.59</v>
      </c>
      <c r="L263">
        <v>4.6100000000000003</v>
      </c>
      <c r="M263" s="25">
        <v>0.34150000000000003</v>
      </c>
      <c r="N263" s="25">
        <v>0.17460000000000001</v>
      </c>
      <c r="O263">
        <v>2.17</v>
      </c>
      <c r="P263" s="25">
        <v>0.18529999999999999</v>
      </c>
      <c r="Q263" s="25">
        <v>0.19170000000000001</v>
      </c>
      <c r="R263" s="26">
        <v>7948360</v>
      </c>
      <c r="S263" s="26">
        <v>1487240000</v>
      </c>
      <c r="T263">
        <v>1.28</v>
      </c>
      <c r="U263" s="25">
        <v>0.32</v>
      </c>
    </row>
    <row r="264" spans="1:21" x14ac:dyDescent="0.25">
      <c r="A264" t="s">
        <v>181</v>
      </c>
      <c r="B264">
        <v>1.07</v>
      </c>
      <c r="C264">
        <v>-4.68</v>
      </c>
      <c r="D264">
        <v>0.3</v>
      </c>
      <c r="E264">
        <v>0.25700000000000001</v>
      </c>
      <c r="F264" s="25">
        <v>0</v>
      </c>
      <c r="G264">
        <v>0.16600000000000001</v>
      </c>
      <c r="H264">
        <v>0.47</v>
      </c>
      <c r="I264">
        <v>-6.08</v>
      </c>
      <c r="J264">
        <v>0.72</v>
      </c>
      <c r="K264">
        <v>-7.58</v>
      </c>
      <c r="L264">
        <v>-12.97</v>
      </c>
      <c r="M264" s="25">
        <v>-4.2200000000000001E-2</v>
      </c>
      <c r="N264" s="25">
        <v>-5.4800000000000001E-2</v>
      </c>
      <c r="O264">
        <v>2.11</v>
      </c>
      <c r="P264" s="25">
        <v>-3.78E-2</v>
      </c>
      <c r="Q264" s="25">
        <v>-6.3500000000000001E-2</v>
      </c>
      <c r="R264" s="26">
        <v>2441320</v>
      </c>
      <c r="S264" s="26">
        <v>2953430000</v>
      </c>
      <c r="T264">
        <v>0.23</v>
      </c>
      <c r="U264" s="25">
        <v>-9.1899999999999996E-2</v>
      </c>
    </row>
    <row r="265" spans="1:21" x14ac:dyDescent="0.25">
      <c r="A265" t="s">
        <v>419</v>
      </c>
      <c r="B265">
        <v>20</v>
      </c>
      <c r="C265">
        <v>76.319999999999993</v>
      </c>
      <c r="D265">
        <v>1.24</v>
      </c>
      <c r="E265">
        <v>0.2</v>
      </c>
      <c r="F265" s="25">
        <v>0</v>
      </c>
      <c r="G265">
        <v>0.14000000000000001</v>
      </c>
      <c r="H265">
        <v>-1.44</v>
      </c>
      <c r="I265">
        <v>1.97</v>
      </c>
      <c r="J265">
        <v>-0.3</v>
      </c>
      <c r="K265">
        <v>6.72</v>
      </c>
      <c r="L265">
        <v>5.81</v>
      </c>
      <c r="M265" s="25">
        <v>0.10150000000000001</v>
      </c>
      <c r="N265" s="25">
        <v>2.5999999999999999E-3</v>
      </c>
      <c r="O265">
        <v>0.81</v>
      </c>
      <c r="P265" s="25">
        <v>7.6300000000000007E-2</v>
      </c>
      <c r="Q265" s="25">
        <v>1.6199999999999999E-2</v>
      </c>
      <c r="R265" s="26">
        <v>25057</v>
      </c>
      <c r="S265" s="26">
        <v>160158000</v>
      </c>
      <c r="T265">
        <v>3</v>
      </c>
      <c r="U265" s="25">
        <v>0.1429</v>
      </c>
    </row>
    <row r="266" spans="1:21" x14ac:dyDescent="0.25">
      <c r="A266" t="s">
        <v>420</v>
      </c>
      <c r="B266">
        <v>24.01</v>
      </c>
      <c r="C266">
        <v>11.75</v>
      </c>
      <c r="D266">
        <v>-0.56999999999999995</v>
      </c>
      <c r="E266">
        <v>0.47</v>
      </c>
      <c r="F266" s="25">
        <v>0</v>
      </c>
      <c r="G266">
        <v>0.44800000000000001</v>
      </c>
      <c r="H266">
        <v>-0.46</v>
      </c>
      <c r="I266">
        <v>2.6</v>
      </c>
      <c r="J266">
        <v>-0.37</v>
      </c>
      <c r="K266">
        <v>2.6</v>
      </c>
      <c r="L266">
        <v>2.29</v>
      </c>
      <c r="M266" s="25">
        <v>0.1804</v>
      </c>
      <c r="N266" s="25">
        <v>4.0099999999999997E-2</v>
      </c>
      <c r="O266">
        <v>0.37</v>
      </c>
      <c r="P266" s="25">
        <v>0.1817</v>
      </c>
      <c r="Q266" s="25">
        <v>-4.8300000000000003E-2</v>
      </c>
      <c r="R266" s="26">
        <v>85336.5</v>
      </c>
      <c r="S266" s="26">
        <v>-300501000</v>
      </c>
      <c r="T266">
        <v>0</v>
      </c>
      <c r="U266" s="25">
        <v>7.1999999999999995E-2</v>
      </c>
    </row>
    <row r="267" spans="1:21" x14ac:dyDescent="0.25">
      <c r="A267" t="s">
        <v>421</v>
      </c>
      <c r="B267">
        <v>150</v>
      </c>
      <c r="C267">
        <v>-22.64</v>
      </c>
      <c r="D267">
        <v>1.85</v>
      </c>
      <c r="E267">
        <v>0</v>
      </c>
      <c r="F267" s="25">
        <v>0.3347</v>
      </c>
      <c r="G267">
        <v>0.86699999999999999</v>
      </c>
      <c r="H267">
        <v>1.72</v>
      </c>
      <c r="I267">
        <v>-71.959999999999994</v>
      </c>
      <c r="J267">
        <v>12.11</v>
      </c>
      <c r="K267">
        <v>-50.68</v>
      </c>
      <c r="L267">
        <v>-52.05</v>
      </c>
      <c r="M267" s="25">
        <v>0</v>
      </c>
      <c r="N267" s="25">
        <v>0</v>
      </c>
      <c r="O267">
        <v>6.12</v>
      </c>
      <c r="P267" s="25">
        <v>-2.8299999999999999E-2</v>
      </c>
      <c r="Q267" s="25">
        <v>-8.1900000000000001E-2</v>
      </c>
      <c r="R267" s="26">
        <v>107609</v>
      </c>
      <c r="S267" s="26">
        <v>990925000</v>
      </c>
      <c r="T267">
        <v>0.68</v>
      </c>
      <c r="U267" s="25">
        <v>-0.99450000000000005</v>
      </c>
    </row>
    <row r="268" spans="1:21" x14ac:dyDescent="0.25">
      <c r="A268" t="s">
        <v>422</v>
      </c>
      <c r="B268">
        <v>13.37</v>
      </c>
      <c r="C268">
        <v>18.59</v>
      </c>
      <c r="D268">
        <v>1.9</v>
      </c>
      <c r="E268">
        <v>1.2450000000000001</v>
      </c>
      <c r="F268" s="25">
        <v>2.3199999999999998E-2</v>
      </c>
      <c r="G268">
        <v>0.43099999999999999</v>
      </c>
      <c r="H268">
        <v>5.85</v>
      </c>
      <c r="I268">
        <v>4.8</v>
      </c>
      <c r="J268">
        <v>-0.71</v>
      </c>
      <c r="K268">
        <v>10.33</v>
      </c>
      <c r="L268">
        <v>8</v>
      </c>
      <c r="M268" s="25">
        <v>0.25929999999999997</v>
      </c>
      <c r="N268" s="25">
        <v>7.0199999999999999E-2</v>
      </c>
      <c r="O268">
        <v>1.81</v>
      </c>
      <c r="P268" s="25">
        <v>0.1021</v>
      </c>
      <c r="Q268" s="25">
        <v>0.1023</v>
      </c>
      <c r="R268" s="26">
        <v>118826000</v>
      </c>
      <c r="S268" s="26">
        <v>14199100000</v>
      </c>
      <c r="T268">
        <v>2.65</v>
      </c>
      <c r="U268" s="25">
        <v>0.16200000000000001</v>
      </c>
    </row>
    <row r="269" spans="1:21" x14ac:dyDescent="0.25">
      <c r="A269" t="s">
        <v>236</v>
      </c>
      <c r="B269">
        <v>7.72</v>
      </c>
      <c r="C269">
        <v>10.28</v>
      </c>
      <c r="D269">
        <v>1.03</v>
      </c>
      <c r="E269">
        <v>0.191</v>
      </c>
      <c r="F269" s="25">
        <v>2.4E-2</v>
      </c>
      <c r="G269">
        <v>9.1999999999999998E-2</v>
      </c>
      <c r="H269">
        <v>-2.39</v>
      </c>
      <c r="I269">
        <v>0.89</v>
      </c>
      <c r="J269">
        <v>-0.14000000000000001</v>
      </c>
      <c r="K269">
        <v>6.5</v>
      </c>
      <c r="L269">
        <v>3.76</v>
      </c>
      <c r="M269" s="25">
        <v>0.21510000000000001</v>
      </c>
      <c r="N269" s="25">
        <v>1.8599999999999998E-2</v>
      </c>
      <c r="O269">
        <v>0.87</v>
      </c>
      <c r="P269" s="25">
        <v>0.1331</v>
      </c>
      <c r="Q269" s="25">
        <v>0.1002</v>
      </c>
      <c r="R269" s="26">
        <v>42109200</v>
      </c>
      <c r="S269" s="26">
        <v>2607680000</v>
      </c>
      <c r="T269">
        <v>7.66</v>
      </c>
      <c r="U269" s="25">
        <v>0.3589</v>
      </c>
    </row>
    <row r="270" spans="1:21" x14ac:dyDescent="0.25">
      <c r="A270" t="s">
        <v>111</v>
      </c>
      <c r="B270">
        <v>25.18</v>
      </c>
      <c r="C270">
        <v>7.66</v>
      </c>
      <c r="D270">
        <v>7.67</v>
      </c>
      <c r="E270">
        <v>0.13800000000000001</v>
      </c>
      <c r="F270" s="25">
        <v>0.1188</v>
      </c>
      <c r="G270">
        <v>0.16</v>
      </c>
      <c r="H270">
        <v>2.39</v>
      </c>
      <c r="I270">
        <v>3.28</v>
      </c>
      <c r="J270">
        <v>-0.33</v>
      </c>
      <c r="K270">
        <v>9.85</v>
      </c>
      <c r="L270">
        <v>4.68</v>
      </c>
      <c r="M270" s="25">
        <v>4.2099999999999999E-2</v>
      </c>
      <c r="N270" s="25">
        <v>2.64E-2</v>
      </c>
      <c r="O270">
        <v>1.22</v>
      </c>
      <c r="P270" s="25">
        <v>6.9900000000000004E-2</v>
      </c>
      <c r="Q270" s="25">
        <v>1.0015000000000001</v>
      </c>
      <c r="R270" s="26">
        <v>171943000</v>
      </c>
      <c r="S270" s="26">
        <v>2816470000</v>
      </c>
      <c r="T270">
        <v>22.57</v>
      </c>
      <c r="U270" s="25">
        <v>0.21590000000000001</v>
      </c>
    </row>
    <row r="271" spans="1:21" x14ac:dyDescent="0.25">
      <c r="A271" t="s">
        <v>423</v>
      </c>
      <c r="B271">
        <v>26.3</v>
      </c>
      <c r="C271">
        <v>6.43</v>
      </c>
      <c r="D271">
        <v>1.1499999999999999</v>
      </c>
      <c r="E271">
        <v>1.2589999999999999</v>
      </c>
      <c r="F271" s="25">
        <v>0</v>
      </c>
      <c r="G271">
        <v>0.434</v>
      </c>
      <c r="H271">
        <v>4.58</v>
      </c>
      <c r="I271">
        <v>3.73</v>
      </c>
      <c r="J271">
        <v>-1.1299999999999999</v>
      </c>
      <c r="K271">
        <v>5.65</v>
      </c>
      <c r="L271">
        <v>3.93</v>
      </c>
      <c r="M271" s="25">
        <v>0.33810000000000001</v>
      </c>
      <c r="N271" s="25">
        <v>0.19589999999999999</v>
      </c>
      <c r="O271">
        <v>1.67</v>
      </c>
      <c r="P271" s="25">
        <v>0.1474</v>
      </c>
      <c r="Q271" s="25">
        <v>0.1784</v>
      </c>
      <c r="R271" s="26">
        <v>1518.45</v>
      </c>
      <c r="S271" s="26">
        <v>7748660000</v>
      </c>
      <c r="T271">
        <v>1.07</v>
      </c>
      <c r="U271" s="25">
        <v>0.1729</v>
      </c>
    </row>
    <row r="272" spans="1:21" x14ac:dyDescent="0.25">
      <c r="A272" t="s">
        <v>423</v>
      </c>
      <c r="B272">
        <v>26.3</v>
      </c>
      <c r="C272">
        <v>6.43</v>
      </c>
      <c r="D272">
        <v>1.1499999999999999</v>
      </c>
      <c r="E272">
        <v>1.2589999999999999</v>
      </c>
      <c r="F272" s="25">
        <v>0</v>
      </c>
      <c r="G272">
        <v>0.434</v>
      </c>
      <c r="H272">
        <v>4.58</v>
      </c>
      <c r="I272">
        <v>3.73</v>
      </c>
      <c r="J272">
        <v>-1.1299999999999999</v>
      </c>
      <c r="K272">
        <v>5.65</v>
      </c>
      <c r="L272">
        <v>3.93</v>
      </c>
      <c r="M272" s="25">
        <v>0.33810000000000001</v>
      </c>
      <c r="N272" s="25">
        <v>0.19589999999999999</v>
      </c>
      <c r="O272">
        <v>1.67</v>
      </c>
      <c r="P272" s="25">
        <v>0.1474</v>
      </c>
      <c r="Q272" s="25">
        <v>0.1784</v>
      </c>
      <c r="R272" s="26">
        <v>1518.45</v>
      </c>
      <c r="S272" s="26">
        <v>7748660000</v>
      </c>
      <c r="T272">
        <v>1.07</v>
      </c>
      <c r="U272" s="25">
        <v>0.1729</v>
      </c>
    </row>
    <row r="273" spans="1:21" x14ac:dyDescent="0.25">
      <c r="A273" t="s">
        <v>424</v>
      </c>
      <c r="B273">
        <v>25.93</v>
      </c>
      <c r="C273">
        <v>6.34</v>
      </c>
      <c r="D273">
        <v>1.1299999999999999</v>
      </c>
      <c r="E273">
        <v>1.242</v>
      </c>
      <c r="F273" s="25">
        <v>4.0399999999999998E-2</v>
      </c>
      <c r="G273">
        <v>0.42799999999999999</v>
      </c>
      <c r="H273">
        <v>4.5199999999999996</v>
      </c>
      <c r="I273">
        <v>3.67</v>
      </c>
      <c r="J273">
        <v>-1.1100000000000001</v>
      </c>
      <c r="K273">
        <v>5.6</v>
      </c>
      <c r="L273">
        <v>3.9</v>
      </c>
      <c r="M273" s="25">
        <v>0.33810000000000001</v>
      </c>
      <c r="N273" s="25">
        <v>0.19589999999999999</v>
      </c>
      <c r="O273">
        <v>1.67</v>
      </c>
      <c r="P273" s="25">
        <v>0.1474</v>
      </c>
      <c r="Q273" s="25">
        <v>0.1784</v>
      </c>
      <c r="R273" s="26">
        <v>380.67</v>
      </c>
      <c r="S273" s="26">
        <v>7748660000</v>
      </c>
      <c r="T273">
        <v>1.07</v>
      </c>
      <c r="U273" s="25">
        <v>0.1729</v>
      </c>
    </row>
    <row r="274" spans="1:21" x14ac:dyDescent="0.25">
      <c r="A274" t="s">
        <v>424</v>
      </c>
      <c r="B274">
        <v>25.93</v>
      </c>
      <c r="C274">
        <v>6.34</v>
      </c>
      <c r="D274">
        <v>1.1299999999999999</v>
      </c>
      <c r="E274">
        <v>1.242</v>
      </c>
      <c r="F274" s="25">
        <v>4.0399999999999998E-2</v>
      </c>
      <c r="G274">
        <v>0.42799999999999999</v>
      </c>
      <c r="H274">
        <v>4.5199999999999996</v>
      </c>
      <c r="I274">
        <v>3.67</v>
      </c>
      <c r="J274">
        <v>-1.1100000000000001</v>
      </c>
      <c r="K274">
        <v>5.6</v>
      </c>
      <c r="L274">
        <v>3.9</v>
      </c>
      <c r="M274" s="25">
        <v>0.33810000000000001</v>
      </c>
      <c r="N274" s="25">
        <v>0.19589999999999999</v>
      </c>
      <c r="O274">
        <v>1.67</v>
      </c>
      <c r="P274" s="25">
        <v>0.1474</v>
      </c>
      <c r="Q274" s="25">
        <v>0.1784</v>
      </c>
      <c r="R274" s="26">
        <v>380.67</v>
      </c>
      <c r="S274" s="26">
        <v>7748660000</v>
      </c>
      <c r="T274">
        <v>1.07</v>
      </c>
      <c r="U274" s="25">
        <v>0.1729</v>
      </c>
    </row>
    <row r="275" spans="1:21" x14ac:dyDescent="0.25">
      <c r="A275" t="s">
        <v>425</v>
      </c>
      <c r="B275">
        <v>25.5</v>
      </c>
      <c r="C275">
        <v>6.23</v>
      </c>
      <c r="D275">
        <v>1.1100000000000001</v>
      </c>
      <c r="E275">
        <v>1.2210000000000001</v>
      </c>
      <c r="F275" s="25">
        <v>4.1099999999999998E-2</v>
      </c>
      <c r="G275">
        <v>0.42099999999999999</v>
      </c>
      <c r="H275">
        <v>4.4400000000000004</v>
      </c>
      <c r="I275">
        <v>3.61</v>
      </c>
      <c r="J275">
        <v>-1.0900000000000001</v>
      </c>
      <c r="K275">
        <v>5.54</v>
      </c>
      <c r="L275">
        <v>3.85</v>
      </c>
      <c r="M275" s="25">
        <v>0.33810000000000001</v>
      </c>
      <c r="N275" s="25">
        <v>0.19589999999999999</v>
      </c>
      <c r="O275">
        <v>1.67</v>
      </c>
      <c r="P275" s="25">
        <v>0.1474</v>
      </c>
      <c r="Q275" s="25">
        <v>0.1784</v>
      </c>
      <c r="R275" s="26">
        <v>122.5</v>
      </c>
      <c r="S275" s="26">
        <v>7748660000</v>
      </c>
      <c r="T275">
        <v>1.07</v>
      </c>
      <c r="U275" s="25">
        <v>0.1729</v>
      </c>
    </row>
    <row r="276" spans="1:21" x14ac:dyDescent="0.25">
      <c r="A276" t="s">
        <v>425</v>
      </c>
      <c r="B276">
        <v>25.5</v>
      </c>
      <c r="C276">
        <v>6.23</v>
      </c>
      <c r="D276">
        <v>1.1100000000000001</v>
      </c>
      <c r="E276">
        <v>1.2210000000000001</v>
      </c>
      <c r="F276" s="25">
        <v>4.1099999999999998E-2</v>
      </c>
      <c r="G276">
        <v>0.42099999999999999</v>
      </c>
      <c r="H276">
        <v>4.4400000000000004</v>
      </c>
      <c r="I276">
        <v>3.61</v>
      </c>
      <c r="J276">
        <v>-1.0900000000000001</v>
      </c>
      <c r="K276">
        <v>5.54</v>
      </c>
      <c r="L276">
        <v>3.85</v>
      </c>
      <c r="M276" s="25">
        <v>0.33810000000000001</v>
      </c>
      <c r="N276" s="25">
        <v>0.19589999999999999</v>
      </c>
      <c r="O276">
        <v>1.67</v>
      </c>
      <c r="P276" s="25">
        <v>0.1474</v>
      </c>
      <c r="Q276" s="25">
        <v>0.1784</v>
      </c>
      <c r="R276" s="26">
        <v>122.5</v>
      </c>
      <c r="S276" s="26">
        <v>7748660000</v>
      </c>
      <c r="T276">
        <v>1.07</v>
      </c>
      <c r="U276" s="25">
        <v>0.1729</v>
      </c>
    </row>
    <row r="277" spans="1:21" x14ac:dyDescent="0.25">
      <c r="A277" t="s">
        <v>235</v>
      </c>
      <c r="B277">
        <v>5.76</v>
      </c>
      <c r="C277">
        <v>-4.68</v>
      </c>
      <c r="D277">
        <v>0.54</v>
      </c>
      <c r="E277">
        <v>0.34499999999999997</v>
      </c>
      <c r="F277" s="25">
        <v>0</v>
      </c>
      <c r="G277">
        <v>0.113</v>
      </c>
      <c r="H277">
        <v>0.79</v>
      </c>
      <c r="I277">
        <v>3.21</v>
      </c>
      <c r="J277">
        <v>-0.37</v>
      </c>
      <c r="K277">
        <v>11.96</v>
      </c>
      <c r="L277">
        <v>10</v>
      </c>
      <c r="M277" s="25">
        <v>0.1075</v>
      </c>
      <c r="N277" s="25">
        <v>-7.2099999999999997E-2</v>
      </c>
      <c r="O277">
        <v>1.47</v>
      </c>
      <c r="P277" s="25">
        <v>3.6799999999999999E-2</v>
      </c>
      <c r="Q277" s="25">
        <v>-0.11550000000000001</v>
      </c>
      <c r="R277" s="26">
        <v>72003800</v>
      </c>
      <c r="S277" s="26">
        <v>5996120000</v>
      </c>
      <c r="T277">
        <v>1.56</v>
      </c>
      <c r="U277" s="25">
        <v>7.5300000000000006E-2</v>
      </c>
    </row>
    <row r="278" spans="1:21" x14ac:dyDescent="0.25">
      <c r="A278" t="s">
        <v>164</v>
      </c>
      <c r="B278">
        <v>3.99</v>
      </c>
      <c r="C278">
        <v>7.11</v>
      </c>
      <c r="D278">
        <v>0.42</v>
      </c>
      <c r="E278">
        <v>0.36</v>
      </c>
      <c r="F278" s="25">
        <v>0.1133</v>
      </c>
      <c r="G278">
        <v>0.19</v>
      </c>
      <c r="H278">
        <v>0.39</v>
      </c>
      <c r="I278">
        <v>4.41</v>
      </c>
      <c r="J278">
        <v>0.67</v>
      </c>
      <c r="K278">
        <v>9.3800000000000008</v>
      </c>
      <c r="L278">
        <v>7.31</v>
      </c>
      <c r="M278" s="25">
        <v>8.1600000000000006E-2</v>
      </c>
      <c r="N278" s="25">
        <v>7.0999999999999994E-2</v>
      </c>
      <c r="O278">
        <v>2.4500000000000002</v>
      </c>
      <c r="P278" s="25">
        <v>4.7300000000000002E-2</v>
      </c>
      <c r="Q278" s="25">
        <v>5.9499999999999997E-2</v>
      </c>
      <c r="R278" s="26">
        <v>2752490</v>
      </c>
      <c r="S278" s="26">
        <v>997155000</v>
      </c>
      <c r="T278">
        <v>0.63</v>
      </c>
      <c r="U278" s="25">
        <v>0.2676</v>
      </c>
    </row>
    <row r="279" spans="1:21" x14ac:dyDescent="0.25">
      <c r="A279" t="s">
        <v>26</v>
      </c>
      <c r="B279">
        <v>42.15</v>
      </c>
      <c r="C279">
        <v>10.08</v>
      </c>
      <c r="D279">
        <v>0.8</v>
      </c>
      <c r="E279">
        <v>0.71199999999999997</v>
      </c>
      <c r="F279" s="25">
        <v>4.9599999999999998E-2</v>
      </c>
      <c r="G279">
        <v>0.66800000000000004</v>
      </c>
      <c r="H279">
        <v>1.08</v>
      </c>
      <c r="I279">
        <v>9.6999999999999993</v>
      </c>
      <c r="J279">
        <v>1.1100000000000001</v>
      </c>
      <c r="K279">
        <v>5.73</v>
      </c>
      <c r="L279">
        <v>4.2300000000000004</v>
      </c>
      <c r="M279" s="25">
        <v>7.3400000000000007E-2</v>
      </c>
      <c r="N279" s="25">
        <v>7.0599999999999996E-2</v>
      </c>
      <c r="O279">
        <v>5.36</v>
      </c>
      <c r="P279" s="25">
        <v>0.1055</v>
      </c>
      <c r="Q279" s="25">
        <v>7.9100000000000004E-2</v>
      </c>
      <c r="R279" s="26">
        <v>102662</v>
      </c>
      <c r="S279" s="26">
        <v>464622000</v>
      </c>
      <c r="T279">
        <v>0.03</v>
      </c>
      <c r="U279" s="25">
        <v>2.6100000000000002E-2</v>
      </c>
    </row>
    <row r="280" spans="1:21" x14ac:dyDescent="0.25">
      <c r="A280" t="s">
        <v>158</v>
      </c>
      <c r="B280">
        <v>25.7</v>
      </c>
      <c r="C280">
        <v>10.08</v>
      </c>
      <c r="D280">
        <v>2.2999999999999998</v>
      </c>
      <c r="E280">
        <v>5.1779999999999999</v>
      </c>
      <c r="F280" s="25">
        <v>4.48E-2</v>
      </c>
      <c r="G280">
        <v>1.0449999999999999</v>
      </c>
      <c r="H280">
        <v>20.63</v>
      </c>
      <c r="I280">
        <v>7.19</v>
      </c>
      <c r="J280">
        <v>-2.81</v>
      </c>
      <c r="K280">
        <v>9.5</v>
      </c>
      <c r="L280">
        <v>8.82</v>
      </c>
      <c r="M280" s="25">
        <v>0.7198</v>
      </c>
      <c r="N280" s="25">
        <v>0.51359999999999995</v>
      </c>
      <c r="O280">
        <v>1.41</v>
      </c>
      <c r="P280" s="25">
        <v>0.1653</v>
      </c>
      <c r="Q280" s="25">
        <v>0.2276</v>
      </c>
      <c r="R280" s="26">
        <v>101809000</v>
      </c>
      <c r="S280" s="26">
        <v>5746470000</v>
      </c>
      <c r="T280">
        <v>0.95</v>
      </c>
      <c r="U280" s="25">
        <v>0.2457</v>
      </c>
    </row>
    <row r="281" spans="1:21" x14ac:dyDescent="0.25">
      <c r="A281" t="s">
        <v>501</v>
      </c>
      <c r="B281">
        <v>12.57</v>
      </c>
      <c r="C281">
        <v>0.99</v>
      </c>
      <c r="D281">
        <v>1.3</v>
      </c>
      <c r="E281">
        <v>9.6000000000000002E-2</v>
      </c>
      <c r="F281" s="25">
        <v>0</v>
      </c>
      <c r="G281">
        <v>8.5000000000000006E-2</v>
      </c>
      <c r="H281">
        <v>-0.86</v>
      </c>
      <c r="I281">
        <v>-0.75</v>
      </c>
      <c r="J281">
        <v>-0.15</v>
      </c>
      <c r="K281">
        <v>-3.08</v>
      </c>
      <c r="L281">
        <v>-3.69</v>
      </c>
      <c r="M281" s="25">
        <v>-0.12770000000000001</v>
      </c>
      <c r="N281" s="25">
        <v>9.69E-2</v>
      </c>
      <c r="O281">
        <v>0.79</v>
      </c>
      <c r="P281" s="25">
        <v>-0.128</v>
      </c>
      <c r="Q281" s="25">
        <v>1.3137000000000001</v>
      </c>
      <c r="R281" s="26">
        <v>29.93</v>
      </c>
      <c r="S281" s="26">
        <v>19835000</v>
      </c>
      <c r="T281">
        <v>4.4400000000000004</v>
      </c>
      <c r="U281" s="25">
        <v>0.113</v>
      </c>
    </row>
    <row r="282" spans="1:21" x14ac:dyDescent="0.25">
      <c r="A282" t="s">
        <v>426</v>
      </c>
      <c r="B282">
        <v>12.2</v>
      </c>
      <c r="C282">
        <v>0.96</v>
      </c>
      <c r="D282">
        <v>1.27</v>
      </c>
      <c r="E282">
        <v>9.2999999999999999E-2</v>
      </c>
      <c r="F282" s="25">
        <v>0</v>
      </c>
      <c r="G282">
        <v>8.2000000000000003E-2</v>
      </c>
      <c r="H282">
        <v>-0.84</v>
      </c>
      <c r="I282">
        <v>-0.73</v>
      </c>
      <c r="J282">
        <v>-0.15</v>
      </c>
      <c r="K282">
        <v>-3.05</v>
      </c>
      <c r="L282">
        <v>-3.66</v>
      </c>
      <c r="M282" s="25">
        <v>-0.12770000000000001</v>
      </c>
      <c r="N282" s="25">
        <v>9.69E-2</v>
      </c>
      <c r="O282">
        <v>0.79</v>
      </c>
      <c r="P282" s="25">
        <v>-0.128</v>
      </c>
      <c r="Q282" s="25">
        <v>1.3137000000000001</v>
      </c>
      <c r="R282" s="26">
        <v>8444.1200000000008</v>
      </c>
      <c r="S282" s="26">
        <v>19835000</v>
      </c>
      <c r="T282">
        <v>4.4400000000000004</v>
      </c>
      <c r="U282" s="25">
        <v>0.113</v>
      </c>
    </row>
    <row r="283" spans="1:21" x14ac:dyDescent="0.25">
      <c r="A283" t="s">
        <v>150</v>
      </c>
      <c r="B283">
        <v>13.1</v>
      </c>
      <c r="C283">
        <v>8.94</v>
      </c>
      <c r="D283">
        <v>0.47</v>
      </c>
      <c r="E283">
        <v>0.128</v>
      </c>
      <c r="F283" s="25">
        <v>5.4300000000000001E-2</v>
      </c>
      <c r="G283">
        <v>0.13100000000000001</v>
      </c>
      <c r="H283">
        <v>0.74</v>
      </c>
      <c r="I283">
        <v>1.95</v>
      </c>
      <c r="J283">
        <v>-0.6</v>
      </c>
      <c r="K283">
        <v>5.71</v>
      </c>
      <c r="L283">
        <v>3.79</v>
      </c>
      <c r="M283" s="25">
        <v>6.6000000000000003E-2</v>
      </c>
      <c r="N283" s="25">
        <v>2.1299999999999999E-2</v>
      </c>
      <c r="O283">
        <v>1.61</v>
      </c>
      <c r="P283" s="25">
        <v>9.4700000000000006E-2</v>
      </c>
      <c r="Q283" s="25">
        <v>5.2299999999999999E-2</v>
      </c>
      <c r="R283" s="26">
        <v>12349500</v>
      </c>
      <c r="S283" s="26">
        <v>4306800000</v>
      </c>
      <c r="T283">
        <v>1.35</v>
      </c>
      <c r="U283" s="25">
        <v>9.9299999999999999E-2</v>
      </c>
    </row>
    <row r="284" spans="1:21" x14ac:dyDescent="0.25">
      <c r="A284" t="s">
        <v>82</v>
      </c>
      <c r="B284">
        <v>24.45</v>
      </c>
      <c r="C284">
        <v>8.4600000000000009</v>
      </c>
      <c r="D284">
        <v>0.88</v>
      </c>
      <c r="E284">
        <v>0.59799999999999998</v>
      </c>
      <c r="F284" s="25">
        <v>3.1699999999999999E-2</v>
      </c>
      <c r="G284">
        <v>0.27</v>
      </c>
      <c r="H284">
        <v>11.28</v>
      </c>
      <c r="I284">
        <v>2.75</v>
      </c>
      <c r="J284">
        <v>-0.56999999999999995</v>
      </c>
      <c r="K284">
        <v>6.92</v>
      </c>
      <c r="L284">
        <v>5.45</v>
      </c>
      <c r="M284" s="25">
        <v>0.21709999999999999</v>
      </c>
      <c r="N284" s="25">
        <v>7.1300000000000002E-2</v>
      </c>
      <c r="O284">
        <v>1.1299999999999999</v>
      </c>
      <c r="P284" s="25">
        <v>0.108</v>
      </c>
      <c r="Q284" s="25">
        <v>0.1038</v>
      </c>
      <c r="R284" s="26">
        <v>24978600</v>
      </c>
      <c r="S284" s="26">
        <v>33807000000</v>
      </c>
      <c r="T284">
        <v>1.51</v>
      </c>
      <c r="U284" s="25">
        <v>7.6600000000000001E-2</v>
      </c>
    </row>
    <row r="285" spans="1:21" x14ac:dyDescent="0.25">
      <c r="A285" t="s">
        <v>427</v>
      </c>
      <c r="B285">
        <v>3.85</v>
      </c>
      <c r="C285">
        <v>0.1</v>
      </c>
      <c r="D285">
        <v>-0.2</v>
      </c>
      <c r="E285">
        <v>0.115</v>
      </c>
      <c r="F285" s="25">
        <v>0</v>
      </c>
      <c r="G285">
        <v>0.28299999999999997</v>
      </c>
      <c r="H285">
        <v>-0.55000000000000004</v>
      </c>
      <c r="I285">
        <v>-0.76</v>
      </c>
      <c r="J285">
        <v>-0.16</v>
      </c>
      <c r="K285">
        <v>-0.14000000000000001</v>
      </c>
      <c r="L285">
        <v>-14.98</v>
      </c>
      <c r="M285" s="25">
        <v>-0.15079999999999999</v>
      </c>
      <c r="N285" s="25">
        <v>1.1241000000000001</v>
      </c>
      <c r="O285">
        <v>0.53</v>
      </c>
      <c r="P285" s="25">
        <v>-0.52859999999999996</v>
      </c>
      <c r="Q285" s="25">
        <v>-1.9732000000000001</v>
      </c>
      <c r="R285" s="26">
        <v>2896.24</v>
      </c>
      <c r="S285" s="26">
        <v>-50521000</v>
      </c>
      <c r="T285">
        <v>-0.03</v>
      </c>
      <c r="U285" s="25">
        <v>-4.6100000000000002E-2</v>
      </c>
    </row>
    <row r="286" spans="1:21" x14ac:dyDescent="0.25">
      <c r="A286" t="s">
        <v>197</v>
      </c>
      <c r="B286">
        <v>26.56</v>
      </c>
      <c r="C286">
        <v>-7.79</v>
      </c>
      <c r="D286">
        <v>0.54</v>
      </c>
      <c r="E286">
        <v>0.88100000000000001</v>
      </c>
      <c r="F286" s="25">
        <v>0</v>
      </c>
      <c r="G286">
        <v>0.40600000000000003</v>
      </c>
      <c r="H286">
        <v>1.84</v>
      </c>
      <c r="I286">
        <v>-8.6199999999999992</v>
      </c>
      <c r="J286">
        <v>3.59</v>
      </c>
      <c r="K286">
        <v>-4.3499999999999996</v>
      </c>
      <c r="L286">
        <v>4.28</v>
      </c>
      <c r="M286" s="25">
        <v>-0.1023</v>
      </c>
      <c r="N286" s="25">
        <v>-0.11310000000000001</v>
      </c>
      <c r="O286">
        <v>2.54</v>
      </c>
      <c r="P286" s="25">
        <v>-6.5699999999999995E-2</v>
      </c>
      <c r="Q286" s="25">
        <v>-6.9599999999999995E-2</v>
      </c>
      <c r="R286" s="26">
        <v>510976</v>
      </c>
      <c r="S286" s="26">
        <v>447975000</v>
      </c>
      <c r="T286">
        <v>0.04</v>
      </c>
      <c r="U286" s="25">
        <v>5.1499999999999997E-2</v>
      </c>
    </row>
    <row r="287" spans="1:21" x14ac:dyDescent="0.25">
      <c r="A287" t="s">
        <v>428</v>
      </c>
      <c r="B287">
        <v>7.3</v>
      </c>
      <c r="C287">
        <v>1.17</v>
      </c>
      <c r="D287">
        <v>-0.39</v>
      </c>
      <c r="E287">
        <v>18.843</v>
      </c>
      <c r="F287" s="25">
        <v>0</v>
      </c>
      <c r="G287">
        <v>2.4969999999999999</v>
      </c>
      <c r="H287" s="26">
        <v>-0.39</v>
      </c>
      <c r="I287">
        <v>-57.82</v>
      </c>
      <c r="J287">
        <v>-0.34</v>
      </c>
      <c r="K287">
        <v>-103.19</v>
      </c>
      <c r="L287">
        <v>-103.19</v>
      </c>
      <c r="M287" s="25">
        <v>-0.32590000000000002</v>
      </c>
      <c r="N287" s="25">
        <v>16.138000000000002</v>
      </c>
      <c r="O287">
        <v>0.01</v>
      </c>
      <c r="P287" s="25">
        <v>-4.3499999999999997E-2</v>
      </c>
      <c r="Q287" s="25">
        <v>-0.33439999999999998</v>
      </c>
      <c r="R287" s="26">
        <v>2915.55</v>
      </c>
      <c r="S287" s="26">
        <v>-123781000</v>
      </c>
      <c r="T287">
        <v>-0.31</v>
      </c>
      <c r="U287" s="25">
        <v>0.12959999999999999</v>
      </c>
    </row>
    <row r="288" spans="1:21" x14ac:dyDescent="0.25">
      <c r="A288" t="s">
        <v>121</v>
      </c>
      <c r="B288">
        <v>10.24</v>
      </c>
      <c r="C288">
        <v>-1.75</v>
      </c>
      <c r="D288">
        <v>0.94</v>
      </c>
      <c r="E288">
        <v>0.57699999999999996</v>
      </c>
      <c r="F288" s="25">
        <v>0</v>
      </c>
      <c r="G288">
        <v>0.40500000000000003</v>
      </c>
      <c r="H288">
        <v>2.86</v>
      </c>
      <c r="I288">
        <v>5.61</v>
      </c>
      <c r="J288">
        <v>-2.4900000000000002</v>
      </c>
      <c r="K288">
        <v>6.76</v>
      </c>
      <c r="L288">
        <v>4.91</v>
      </c>
      <c r="M288" s="25">
        <v>0.10290000000000001</v>
      </c>
      <c r="N288" s="25">
        <v>-0.33029999999999998</v>
      </c>
      <c r="O288">
        <v>1.53</v>
      </c>
      <c r="P288" s="25">
        <v>9.9699999999999997E-2</v>
      </c>
      <c r="Q288" s="25">
        <v>-0.53959999999999997</v>
      </c>
      <c r="R288" s="26">
        <v>105388000</v>
      </c>
      <c r="S288" s="26">
        <v>15095900000</v>
      </c>
      <c r="T288">
        <v>0.44</v>
      </c>
      <c r="U288" s="25">
        <v>-0.12470000000000001</v>
      </c>
    </row>
    <row r="289" spans="1:21" x14ac:dyDescent="0.25">
      <c r="A289" t="s">
        <v>429</v>
      </c>
      <c r="B289">
        <v>3.46</v>
      </c>
      <c r="C289">
        <v>8.15</v>
      </c>
      <c r="D289">
        <v>1.07</v>
      </c>
      <c r="E289">
        <v>0.23499999999999999</v>
      </c>
      <c r="F289" s="25">
        <v>0</v>
      </c>
      <c r="G289">
        <v>0.41299999999999998</v>
      </c>
      <c r="H289">
        <v>1.3</v>
      </c>
      <c r="I289">
        <v>5.72</v>
      </c>
      <c r="J289">
        <v>4.37</v>
      </c>
      <c r="K289">
        <v>7.06</v>
      </c>
      <c r="L289">
        <v>6.39</v>
      </c>
      <c r="M289" s="25">
        <v>4.1000000000000002E-2</v>
      </c>
      <c r="N289" s="25">
        <v>2.8799999999999999E-2</v>
      </c>
      <c r="O289">
        <v>1.81</v>
      </c>
      <c r="P289" s="25">
        <v>9.1600000000000001E-2</v>
      </c>
      <c r="Q289" s="25">
        <v>0.13170000000000001</v>
      </c>
      <c r="R289" s="26">
        <v>21885.599999999999</v>
      </c>
      <c r="S289" s="26">
        <v>42690000</v>
      </c>
      <c r="T289">
        <v>0.31</v>
      </c>
      <c r="U289" s="25">
        <v>0.22720000000000001</v>
      </c>
    </row>
    <row r="290" spans="1:21" x14ac:dyDescent="0.25">
      <c r="A290" t="s">
        <v>169</v>
      </c>
      <c r="B290">
        <v>10.85</v>
      </c>
      <c r="C290">
        <v>10.53</v>
      </c>
      <c r="D290">
        <v>4.34</v>
      </c>
      <c r="E290">
        <v>2.5590000000000002</v>
      </c>
      <c r="F290" s="25">
        <v>8.4400000000000003E-2</v>
      </c>
      <c r="G290">
        <v>2.649</v>
      </c>
      <c r="H290">
        <v>-52.97</v>
      </c>
      <c r="I290">
        <v>8.19</v>
      </c>
      <c r="J290">
        <v>-23.48</v>
      </c>
      <c r="K290">
        <v>7.51</v>
      </c>
      <c r="L290">
        <v>7</v>
      </c>
      <c r="M290" s="25">
        <v>0.31230000000000002</v>
      </c>
      <c r="N290" s="25">
        <v>0.24279999999999999</v>
      </c>
      <c r="O290">
        <v>0.85</v>
      </c>
      <c r="P290" s="25">
        <v>0.42630000000000001</v>
      </c>
      <c r="Q290" s="25">
        <v>0.41210000000000002</v>
      </c>
      <c r="R290" s="26">
        <v>26487300</v>
      </c>
      <c r="S290" s="26">
        <v>1364460000</v>
      </c>
      <c r="T290">
        <v>0</v>
      </c>
      <c r="U290" s="25">
        <v>7.2499999999999995E-2</v>
      </c>
    </row>
    <row r="291" spans="1:21" x14ac:dyDescent="0.25">
      <c r="A291" t="s">
        <v>430</v>
      </c>
      <c r="B291">
        <v>25.45</v>
      </c>
      <c r="C291">
        <v>11.12</v>
      </c>
      <c r="D291">
        <v>2.16</v>
      </c>
      <c r="E291">
        <v>1.325</v>
      </c>
      <c r="F291" s="25">
        <v>0.1163</v>
      </c>
      <c r="G291">
        <v>1.083</v>
      </c>
      <c r="H291">
        <v>2.91</v>
      </c>
      <c r="I291">
        <v>7.98</v>
      </c>
      <c r="J291">
        <v>9.64</v>
      </c>
      <c r="K291">
        <v>9.14</v>
      </c>
      <c r="L291">
        <v>7.5</v>
      </c>
      <c r="M291" s="25">
        <v>0.1661</v>
      </c>
      <c r="N291" s="25">
        <v>0.1192</v>
      </c>
      <c r="O291">
        <v>2.56</v>
      </c>
      <c r="P291" s="25">
        <v>0.17610000000000001</v>
      </c>
      <c r="Q291" s="25">
        <v>0.19439999999999999</v>
      </c>
      <c r="R291" s="26">
        <v>100295</v>
      </c>
      <c r="S291" s="26">
        <v>635559000</v>
      </c>
      <c r="T291">
        <v>0.55000000000000004</v>
      </c>
      <c r="U291" s="25">
        <v>5.8299999999999998E-2</v>
      </c>
    </row>
    <row r="292" spans="1:21" x14ac:dyDescent="0.25">
      <c r="A292" t="s">
        <v>245</v>
      </c>
      <c r="B292">
        <v>0.71</v>
      </c>
      <c r="C292">
        <v>0.02</v>
      </c>
      <c r="D292">
        <v>-0.02</v>
      </c>
      <c r="E292">
        <v>0.14099999999999999</v>
      </c>
      <c r="F292" s="25">
        <v>0</v>
      </c>
      <c r="G292">
        <v>1.2E-2</v>
      </c>
      <c r="H292">
        <v>-0.1</v>
      </c>
      <c r="I292">
        <v>-0.08</v>
      </c>
      <c r="J292">
        <v>-0.01</v>
      </c>
      <c r="K292">
        <v>-3.6</v>
      </c>
      <c r="L292">
        <v>-4.88</v>
      </c>
      <c r="M292" s="25">
        <v>-1.6903999999999999</v>
      </c>
      <c r="N292" s="25">
        <v>8.4742999999999995</v>
      </c>
      <c r="O292">
        <v>0.7</v>
      </c>
      <c r="P292" s="25">
        <v>-0.18210000000000001</v>
      </c>
      <c r="Q292" s="25">
        <v>-0.9587</v>
      </c>
      <c r="R292" s="26">
        <v>4198050</v>
      </c>
      <c r="S292" s="26">
        <v>-14660000000</v>
      </c>
      <c r="T292">
        <v>-0.77</v>
      </c>
      <c r="U292" s="25">
        <v>-0.25540000000000002</v>
      </c>
    </row>
    <row r="293" spans="1:21" x14ac:dyDescent="0.25">
      <c r="A293" t="s">
        <v>219</v>
      </c>
      <c r="B293">
        <v>8.9</v>
      </c>
      <c r="C293">
        <v>0.21</v>
      </c>
      <c r="D293">
        <v>-0.2</v>
      </c>
      <c r="E293">
        <v>1.772</v>
      </c>
      <c r="F293" s="25">
        <v>0</v>
      </c>
      <c r="G293">
        <v>0.15</v>
      </c>
      <c r="H293">
        <v>-1.28</v>
      </c>
      <c r="I293">
        <v>-1.05</v>
      </c>
      <c r="J293">
        <v>-0.1</v>
      </c>
      <c r="K293">
        <v>-4.5599999999999996</v>
      </c>
      <c r="L293">
        <v>-6.18</v>
      </c>
      <c r="M293" s="25">
        <v>-1.6903999999999999</v>
      </c>
      <c r="N293" s="25">
        <v>8.4742999999999995</v>
      </c>
      <c r="O293">
        <v>0.7</v>
      </c>
      <c r="P293" s="25">
        <v>-0.18210000000000001</v>
      </c>
      <c r="Q293" s="25">
        <v>-0.9587</v>
      </c>
      <c r="R293" s="26">
        <v>454551</v>
      </c>
      <c r="S293" s="26">
        <v>-14660000000</v>
      </c>
      <c r="T293">
        <v>-0.77</v>
      </c>
      <c r="U293" s="25">
        <v>-0.25540000000000002</v>
      </c>
    </row>
    <row r="294" spans="1:21" x14ac:dyDescent="0.25">
      <c r="A294" t="s">
        <v>208</v>
      </c>
      <c r="B294">
        <v>4.5999999999999996</v>
      </c>
      <c r="C294">
        <v>-3.74</v>
      </c>
      <c r="D294">
        <v>1</v>
      </c>
      <c r="E294">
        <v>0.47899999999999998</v>
      </c>
      <c r="F294" s="25">
        <v>0</v>
      </c>
      <c r="G294">
        <v>0.27700000000000002</v>
      </c>
      <c r="H294">
        <v>1.6</v>
      </c>
      <c r="I294">
        <v>5.43</v>
      </c>
      <c r="J294">
        <v>-0.89</v>
      </c>
      <c r="K294">
        <v>12.36</v>
      </c>
      <c r="L294">
        <v>7.71</v>
      </c>
      <c r="M294" s="25">
        <v>8.8099999999999998E-2</v>
      </c>
      <c r="N294" s="25">
        <v>-0.13880000000000001</v>
      </c>
      <c r="O294">
        <v>1.81</v>
      </c>
      <c r="P294" s="25">
        <v>6.7299999999999999E-2</v>
      </c>
      <c r="Q294" s="25">
        <v>-0.26779999999999998</v>
      </c>
      <c r="R294" s="26">
        <v>8369610</v>
      </c>
      <c r="S294" s="26">
        <v>2995770000</v>
      </c>
      <c r="T294">
        <v>1.82</v>
      </c>
      <c r="U294" s="25">
        <v>0.28739999999999999</v>
      </c>
    </row>
    <row r="295" spans="1:21" x14ac:dyDescent="0.25">
      <c r="A295" t="s">
        <v>123</v>
      </c>
      <c r="B295">
        <v>6.3</v>
      </c>
      <c r="C295">
        <v>-54.58</v>
      </c>
      <c r="D295">
        <v>1.33</v>
      </c>
      <c r="E295">
        <v>0.745</v>
      </c>
      <c r="F295" s="25">
        <v>0</v>
      </c>
      <c r="G295">
        <v>0.432</v>
      </c>
      <c r="H295">
        <v>3.29</v>
      </c>
      <c r="I295">
        <v>5.48</v>
      </c>
      <c r="J295">
        <v>-1.24</v>
      </c>
      <c r="K295">
        <v>10.73</v>
      </c>
      <c r="L295">
        <v>4.92</v>
      </c>
      <c r="M295" s="25">
        <v>0.13600000000000001</v>
      </c>
      <c r="N295" s="25">
        <v>-1.37E-2</v>
      </c>
      <c r="O295">
        <v>1.67</v>
      </c>
      <c r="P295" s="25">
        <v>9.5699999999999993E-2</v>
      </c>
      <c r="Q295" s="25">
        <v>-2.4400000000000002E-2</v>
      </c>
      <c r="R295" s="26">
        <v>1828510</v>
      </c>
      <c r="S295" s="26">
        <v>944915000</v>
      </c>
      <c r="T295">
        <v>1.72</v>
      </c>
      <c r="U295" s="25">
        <v>0.28570000000000001</v>
      </c>
    </row>
    <row r="296" spans="1:21" x14ac:dyDescent="0.25">
      <c r="A296" t="s">
        <v>72</v>
      </c>
      <c r="B296">
        <v>51.72</v>
      </c>
      <c r="C296">
        <v>171.25</v>
      </c>
      <c r="D296">
        <v>6.44</v>
      </c>
      <c r="E296">
        <v>5.3170000000000002</v>
      </c>
      <c r="F296" s="25">
        <v>0</v>
      </c>
      <c r="G296">
        <v>1.468</v>
      </c>
      <c r="H296">
        <v>11.7</v>
      </c>
      <c r="I296">
        <v>20.03</v>
      </c>
      <c r="J296">
        <v>-3.04</v>
      </c>
      <c r="K296">
        <v>26.15</v>
      </c>
      <c r="L296">
        <v>15.5</v>
      </c>
      <c r="M296" s="25">
        <v>0.26540000000000002</v>
      </c>
      <c r="N296" s="25">
        <v>4.36E-2</v>
      </c>
      <c r="O296">
        <v>1.93</v>
      </c>
      <c r="P296" s="25">
        <v>8.6599999999999996E-2</v>
      </c>
      <c r="Q296" s="25">
        <v>3.7600000000000001E-2</v>
      </c>
      <c r="R296" s="26">
        <v>29885700</v>
      </c>
      <c r="S296" s="26">
        <v>771834000</v>
      </c>
      <c r="T296">
        <v>2.5</v>
      </c>
      <c r="U296" s="25">
        <v>0.26319999999999999</v>
      </c>
    </row>
    <row r="297" spans="1:21" x14ac:dyDescent="0.25">
      <c r="A297" t="s">
        <v>431</v>
      </c>
      <c r="B297">
        <v>2.82</v>
      </c>
      <c r="C297">
        <v>-0.01</v>
      </c>
      <c r="D297">
        <v>0</v>
      </c>
      <c r="E297">
        <v>0.128</v>
      </c>
      <c r="F297" s="25">
        <v>0</v>
      </c>
      <c r="G297">
        <v>6.0000000000000001E-3</v>
      </c>
      <c r="H297">
        <v>-0.01</v>
      </c>
      <c r="I297">
        <v>-0.12</v>
      </c>
      <c r="J297">
        <v>0</v>
      </c>
      <c r="K297">
        <v>-89.73</v>
      </c>
      <c r="L297">
        <v>-108.44</v>
      </c>
      <c r="M297" s="25">
        <v>-1.1141000000000001</v>
      </c>
      <c r="N297" s="25">
        <v>-23.5822</v>
      </c>
      <c r="O297">
        <v>0.01</v>
      </c>
      <c r="P297" s="25">
        <v>-5.57E-2</v>
      </c>
      <c r="Q297" s="25">
        <v>0.18410000000000001</v>
      </c>
      <c r="R297" s="26">
        <v>7260.86</v>
      </c>
      <c r="S297" s="26">
        <v>-8625440000</v>
      </c>
      <c r="T297">
        <v>-0.8</v>
      </c>
      <c r="U297" s="25">
        <v>0.48499999999999999</v>
      </c>
    </row>
    <row r="298" spans="1:21" x14ac:dyDescent="0.25">
      <c r="A298" t="s">
        <v>432</v>
      </c>
      <c r="B298">
        <v>36.020000000000003</v>
      </c>
      <c r="C298">
        <v>9.92</v>
      </c>
      <c r="D298">
        <v>1.1000000000000001</v>
      </c>
      <c r="E298">
        <v>0.39600000000000002</v>
      </c>
      <c r="F298" s="25">
        <v>0.19939999999999999</v>
      </c>
      <c r="G298">
        <v>0.53400000000000003</v>
      </c>
      <c r="H298">
        <v>1.33</v>
      </c>
      <c r="I298">
        <v>7.04</v>
      </c>
      <c r="J298">
        <v>2.38</v>
      </c>
      <c r="K298">
        <v>7.43</v>
      </c>
      <c r="L298">
        <v>6.61</v>
      </c>
      <c r="M298" s="25">
        <v>5.62E-2</v>
      </c>
      <c r="N298" s="25">
        <v>3.9899999999999998E-2</v>
      </c>
      <c r="O298">
        <v>2.2000000000000002</v>
      </c>
      <c r="P298" s="25">
        <v>0.13750000000000001</v>
      </c>
      <c r="Q298" s="25">
        <v>0.1105</v>
      </c>
      <c r="R298" s="26">
        <v>15695.3</v>
      </c>
      <c r="S298" s="26">
        <v>786260000</v>
      </c>
      <c r="T298">
        <v>0.59</v>
      </c>
      <c r="U298" s="25">
        <v>4.5999999999999999E-3</v>
      </c>
    </row>
    <row r="299" spans="1:21" x14ac:dyDescent="0.25">
      <c r="A299" t="s">
        <v>433</v>
      </c>
      <c r="B299">
        <v>35</v>
      </c>
      <c r="C299">
        <v>9.64</v>
      </c>
      <c r="D299">
        <v>1.07</v>
      </c>
      <c r="E299">
        <v>0.38400000000000001</v>
      </c>
      <c r="F299" s="25">
        <v>0.23630000000000001</v>
      </c>
      <c r="G299">
        <v>0.51900000000000002</v>
      </c>
      <c r="H299">
        <v>1.29</v>
      </c>
      <c r="I299">
        <v>6.84</v>
      </c>
      <c r="J299">
        <v>2.31</v>
      </c>
      <c r="K299">
        <v>7.23</v>
      </c>
      <c r="L299">
        <v>6.43</v>
      </c>
      <c r="M299" s="25">
        <v>5.62E-2</v>
      </c>
      <c r="N299" s="25">
        <v>3.9899999999999998E-2</v>
      </c>
      <c r="O299">
        <v>2.2000000000000002</v>
      </c>
      <c r="P299" s="25">
        <v>0.13750000000000001</v>
      </c>
      <c r="Q299" s="25">
        <v>0.1105</v>
      </c>
      <c r="R299" s="26">
        <v>4315.45</v>
      </c>
      <c r="S299" s="26">
        <v>786260000</v>
      </c>
      <c r="T299">
        <v>0.59</v>
      </c>
      <c r="U299" s="25">
        <v>4.5999999999999999E-3</v>
      </c>
    </row>
    <row r="300" spans="1:21" x14ac:dyDescent="0.25">
      <c r="A300" t="s">
        <v>225</v>
      </c>
      <c r="B300">
        <v>3.05</v>
      </c>
      <c r="C300">
        <v>-0.78</v>
      </c>
      <c r="D300">
        <v>0.54</v>
      </c>
      <c r="E300">
        <v>7.9000000000000001E-2</v>
      </c>
      <c r="F300" s="25">
        <v>0</v>
      </c>
      <c r="G300">
        <v>7.6999999999999999E-2</v>
      </c>
      <c r="H300">
        <v>-11.24</v>
      </c>
      <c r="I300">
        <v>0.98</v>
      </c>
      <c r="J300">
        <v>-0.14000000000000001</v>
      </c>
      <c r="K300">
        <v>2.5499999999999998</v>
      </c>
      <c r="L300">
        <v>1.45</v>
      </c>
      <c r="M300" s="25">
        <v>8.0299999999999996E-2</v>
      </c>
      <c r="N300" s="25">
        <v>-0.1008</v>
      </c>
      <c r="O300">
        <v>0.98</v>
      </c>
      <c r="P300" s="25">
        <v>0.10539999999999999</v>
      </c>
      <c r="Q300" s="25">
        <v>-0.69320000000000004</v>
      </c>
      <c r="R300" s="26">
        <v>51549600</v>
      </c>
      <c r="S300" s="26">
        <v>2764000000</v>
      </c>
      <c r="T300">
        <v>1.65</v>
      </c>
      <c r="U300" s="25">
        <v>-0.2298</v>
      </c>
    </row>
    <row r="301" spans="1:21" x14ac:dyDescent="0.25">
      <c r="A301" t="s">
        <v>193</v>
      </c>
      <c r="B301">
        <v>0.3</v>
      </c>
      <c r="C301">
        <v>-0.02</v>
      </c>
      <c r="D301">
        <v>0</v>
      </c>
      <c r="E301">
        <v>6.5000000000000002E-2</v>
      </c>
      <c r="F301" s="25">
        <v>0</v>
      </c>
      <c r="G301">
        <v>1.7000000000000001E-2</v>
      </c>
      <c r="H301">
        <v>-0.01</v>
      </c>
      <c r="I301">
        <v>-0.12</v>
      </c>
      <c r="J301">
        <v>0</v>
      </c>
      <c r="K301">
        <v>-2.61</v>
      </c>
      <c r="L301">
        <v>-2.63</v>
      </c>
      <c r="M301" s="25">
        <v>-0.53349999999999997</v>
      </c>
      <c r="N301" s="25">
        <v>-3.3603000000000001</v>
      </c>
      <c r="O301">
        <v>0.32</v>
      </c>
      <c r="P301" s="25">
        <v>-0.32540000000000002</v>
      </c>
      <c r="Q301" s="25">
        <v>0.13800000000000001</v>
      </c>
      <c r="R301" s="26">
        <v>729089</v>
      </c>
      <c r="S301" s="26">
        <v>-3363560000</v>
      </c>
      <c r="T301">
        <v>-0.06</v>
      </c>
      <c r="U301" s="25">
        <v>-0.22470000000000001</v>
      </c>
    </row>
    <row r="302" spans="1:21" x14ac:dyDescent="0.25">
      <c r="A302" t="s">
        <v>434</v>
      </c>
      <c r="B302">
        <v>1.17</v>
      </c>
      <c r="C302">
        <v>-6.97</v>
      </c>
      <c r="D302">
        <v>0.75</v>
      </c>
      <c r="E302">
        <v>0.29699999999999999</v>
      </c>
      <c r="F302" s="25">
        <v>0</v>
      </c>
      <c r="G302">
        <v>0.13500000000000001</v>
      </c>
      <c r="H302">
        <v>0.34</v>
      </c>
      <c r="I302">
        <v>10.06</v>
      </c>
      <c r="J302">
        <v>-0.92</v>
      </c>
      <c r="K302">
        <v>31.49</v>
      </c>
      <c r="L302">
        <v>8.7899999999999991</v>
      </c>
      <c r="M302" s="25">
        <v>2.9499999999999998E-2</v>
      </c>
      <c r="N302" s="25">
        <v>-4.2700000000000002E-2</v>
      </c>
      <c r="O302">
        <v>2.4</v>
      </c>
      <c r="P302" s="25">
        <v>1.83E-2</v>
      </c>
      <c r="Q302" s="25">
        <v>-0.10829999999999999</v>
      </c>
      <c r="R302" s="26">
        <v>63703.9</v>
      </c>
      <c r="S302" s="26">
        <v>123253000</v>
      </c>
      <c r="T302">
        <v>2.72</v>
      </c>
      <c r="U302" s="25">
        <v>-8.3299999999999999E-2</v>
      </c>
    </row>
    <row r="303" spans="1:21" x14ac:dyDescent="0.25">
      <c r="A303" t="s">
        <v>435</v>
      </c>
      <c r="B303">
        <v>40.9</v>
      </c>
      <c r="C303">
        <v>21.56</v>
      </c>
      <c r="D303">
        <v>0.86</v>
      </c>
      <c r="E303">
        <v>7.9450000000000003</v>
      </c>
      <c r="F303" s="25">
        <v>2.0299999999999999E-2</v>
      </c>
      <c r="G303">
        <v>0.59699999999999998</v>
      </c>
      <c r="H303">
        <v>3.48</v>
      </c>
      <c r="I303">
        <v>-43.16</v>
      </c>
      <c r="J303">
        <v>-6.22</v>
      </c>
      <c r="K303">
        <v>-40.26</v>
      </c>
      <c r="L303">
        <v>-227.67</v>
      </c>
      <c r="M303" s="25">
        <v>-0.18410000000000001</v>
      </c>
      <c r="N303" s="25">
        <v>0.36859999999999998</v>
      </c>
      <c r="O303">
        <v>5.51</v>
      </c>
      <c r="P303" s="25">
        <v>-1.67E-2</v>
      </c>
      <c r="Q303" s="25">
        <v>3.9899999999999998E-2</v>
      </c>
      <c r="R303" s="26">
        <v>17306.8</v>
      </c>
      <c r="S303" s="26">
        <v>898730000</v>
      </c>
      <c r="T303">
        <v>0.18</v>
      </c>
      <c r="U303" s="25">
        <v>5.8700000000000002E-2</v>
      </c>
    </row>
    <row r="304" spans="1:21" x14ac:dyDescent="0.25">
      <c r="A304" t="s">
        <v>436</v>
      </c>
      <c r="B304">
        <v>44</v>
      </c>
      <c r="C304">
        <v>23.19</v>
      </c>
      <c r="D304">
        <v>0.93</v>
      </c>
      <c r="E304">
        <v>8.548</v>
      </c>
      <c r="F304" s="25">
        <v>1.9699999999999999E-2</v>
      </c>
      <c r="G304">
        <v>0.64300000000000002</v>
      </c>
      <c r="H304">
        <v>3.75</v>
      </c>
      <c r="I304">
        <v>-46.43</v>
      </c>
      <c r="J304">
        <v>-6.69</v>
      </c>
      <c r="K304">
        <v>-43.53</v>
      </c>
      <c r="L304">
        <v>-246.17</v>
      </c>
      <c r="M304" s="25">
        <v>-0.18410000000000001</v>
      </c>
      <c r="N304" s="25">
        <v>0.36859999999999998</v>
      </c>
      <c r="O304">
        <v>5.51</v>
      </c>
      <c r="P304" s="25">
        <v>-1.67E-2</v>
      </c>
      <c r="Q304" s="25">
        <v>3.9899999999999998E-2</v>
      </c>
      <c r="R304" s="26">
        <v>1324.05</v>
      </c>
      <c r="S304" s="26">
        <v>898730000</v>
      </c>
      <c r="T304">
        <v>0.18</v>
      </c>
      <c r="U304" s="25">
        <v>5.8700000000000002E-2</v>
      </c>
    </row>
    <row r="305" spans="1:21" x14ac:dyDescent="0.25">
      <c r="A305" t="s">
        <v>94</v>
      </c>
      <c r="B305">
        <v>34.979999999999997</v>
      </c>
      <c r="C305">
        <v>9.3699999999999992</v>
      </c>
      <c r="D305">
        <v>1.1399999999999999</v>
      </c>
      <c r="E305">
        <v>0.90900000000000003</v>
      </c>
      <c r="F305" s="25">
        <v>0.16009999999999999</v>
      </c>
      <c r="G305">
        <v>0.39300000000000002</v>
      </c>
      <c r="H305">
        <v>-9.2100000000000009</v>
      </c>
      <c r="I305">
        <v>2.14</v>
      </c>
      <c r="J305">
        <v>-0.72</v>
      </c>
      <c r="K305">
        <v>3.7</v>
      </c>
      <c r="L305">
        <v>2.78</v>
      </c>
      <c r="M305" s="25">
        <v>0.42370000000000002</v>
      </c>
      <c r="N305" s="25">
        <v>9.7799999999999998E-2</v>
      </c>
      <c r="O305">
        <v>0.72</v>
      </c>
      <c r="P305" s="25">
        <v>0.1961</v>
      </c>
      <c r="Q305" s="25">
        <v>0.1216</v>
      </c>
      <c r="R305" s="26">
        <v>362942000</v>
      </c>
      <c r="S305" s="26">
        <v>395841000000</v>
      </c>
      <c r="T305">
        <v>0.94</v>
      </c>
      <c r="U305" s="25">
        <v>0.11509999999999999</v>
      </c>
    </row>
    <row r="306" spans="1:21" x14ac:dyDescent="0.25">
      <c r="A306" t="s">
        <v>15</v>
      </c>
      <c r="B306">
        <v>32.53</v>
      </c>
      <c r="C306">
        <v>8.7100000000000009</v>
      </c>
      <c r="D306">
        <v>1.06</v>
      </c>
      <c r="E306">
        <v>0.84499999999999997</v>
      </c>
      <c r="F306" s="25">
        <v>0.1721</v>
      </c>
      <c r="G306">
        <v>0.36499999999999999</v>
      </c>
      <c r="H306">
        <v>-8.56</v>
      </c>
      <c r="I306">
        <v>1.99</v>
      </c>
      <c r="J306">
        <v>-0.67</v>
      </c>
      <c r="K306">
        <v>3.55</v>
      </c>
      <c r="L306">
        <v>2.67</v>
      </c>
      <c r="M306" s="25">
        <v>0.42370000000000002</v>
      </c>
      <c r="N306" s="25">
        <v>9.7799999999999998E-2</v>
      </c>
      <c r="O306">
        <v>0.72</v>
      </c>
      <c r="P306" s="25">
        <v>0.1961</v>
      </c>
      <c r="Q306" s="25">
        <v>0.1216</v>
      </c>
      <c r="R306" s="26">
        <v>1338600000</v>
      </c>
      <c r="S306" s="26">
        <v>395841000000</v>
      </c>
      <c r="T306">
        <v>0.94</v>
      </c>
      <c r="U306" s="25">
        <v>0.11509999999999999</v>
      </c>
    </row>
    <row r="307" spans="1:21" x14ac:dyDescent="0.25">
      <c r="A307" t="s">
        <v>204</v>
      </c>
      <c r="B307">
        <v>4.16</v>
      </c>
      <c r="C307">
        <v>-47.27</v>
      </c>
      <c r="D307">
        <v>1.1599999999999999</v>
      </c>
      <c r="E307">
        <v>0.56899999999999995</v>
      </c>
      <c r="F307" s="25">
        <v>6.93E-2</v>
      </c>
      <c r="G307">
        <v>0.498</v>
      </c>
      <c r="H307">
        <v>3.46</v>
      </c>
      <c r="I307">
        <v>11.04</v>
      </c>
      <c r="J307">
        <v>-2.31</v>
      </c>
      <c r="K307">
        <v>11.58</v>
      </c>
      <c r="L307">
        <v>3.86</v>
      </c>
      <c r="M307" s="25">
        <v>5.1499999999999997E-2</v>
      </c>
      <c r="N307" s="25">
        <v>-1.2E-2</v>
      </c>
      <c r="O307">
        <v>1.68</v>
      </c>
      <c r="P307" s="25">
        <v>5.5800000000000002E-2</v>
      </c>
      <c r="Q307" s="25">
        <v>-2.4500000000000001E-2</v>
      </c>
      <c r="R307" s="26">
        <v>30120400</v>
      </c>
      <c r="S307" s="26">
        <v>1658800000</v>
      </c>
      <c r="T307">
        <v>0.27</v>
      </c>
      <c r="U307" s="25">
        <v>0.20250000000000001</v>
      </c>
    </row>
    <row r="308" spans="1:21" x14ac:dyDescent="0.25">
      <c r="A308" t="s">
        <v>80</v>
      </c>
      <c r="B308">
        <v>8.69</v>
      </c>
      <c r="C308">
        <v>8.64</v>
      </c>
      <c r="D308">
        <v>0.82</v>
      </c>
      <c r="E308">
        <v>0.10100000000000001</v>
      </c>
      <c r="F308" s="25">
        <v>6.6199999999999995E-2</v>
      </c>
      <c r="G308">
        <v>0.186</v>
      </c>
      <c r="H308">
        <v>1.17</v>
      </c>
      <c r="I308">
        <v>3.5</v>
      </c>
      <c r="J308">
        <v>-67.180000000000007</v>
      </c>
      <c r="K308">
        <v>5.71</v>
      </c>
      <c r="L308">
        <v>3.62</v>
      </c>
      <c r="M308" s="25">
        <v>2.9000000000000001E-2</v>
      </c>
      <c r="N308" s="25">
        <v>1.2500000000000001E-2</v>
      </c>
      <c r="O308">
        <v>1.28</v>
      </c>
      <c r="P308" s="25">
        <v>9.6100000000000005E-2</v>
      </c>
      <c r="Q308" s="25">
        <v>9.4700000000000006E-2</v>
      </c>
      <c r="R308" s="26">
        <v>1738020</v>
      </c>
      <c r="S308" s="26">
        <v>1315040000</v>
      </c>
      <c r="T308">
        <v>0.72</v>
      </c>
      <c r="U308" s="25">
        <v>0.17050000000000001</v>
      </c>
    </row>
    <row r="309" spans="1:21" x14ac:dyDescent="0.25">
      <c r="A309" t="s">
        <v>153</v>
      </c>
      <c r="B309">
        <v>3.34</v>
      </c>
      <c r="C309">
        <v>14.35</v>
      </c>
      <c r="D309">
        <v>0.76</v>
      </c>
      <c r="E309">
        <v>0.158</v>
      </c>
      <c r="F309" s="25">
        <v>6.9199999999999998E-2</v>
      </c>
      <c r="G309">
        <v>0.24</v>
      </c>
      <c r="H309" s="26">
        <v>1.63</v>
      </c>
      <c r="I309">
        <v>3.36</v>
      </c>
      <c r="J309">
        <v>-1.36</v>
      </c>
      <c r="K309">
        <v>5.45</v>
      </c>
      <c r="L309">
        <v>2.97</v>
      </c>
      <c r="M309" s="25">
        <v>4.7199999999999999E-2</v>
      </c>
      <c r="N309" s="25">
        <v>1.11E-2</v>
      </c>
      <c r="O309">
        <v>1.41</v>
      </c>
      <c r="P309" s="25">
        <v>9.5000000000000001E-2</v>
      </c>
      <c r="Q309" s="25">
        <v>5.3199999999999997E-2</v>
      </c>
      <c r="R309" s="26">
        <v>3070620</v>
      </c>
      <c r="S309" s="26">
        <v>2722920000</v>
      </c>
      <c r="T309">
        <v>0.52</v>
      </c>
      <c r="U309" s="25">
        <v>0.1807</v>
      </c>
    </row>
    <row r="310" spans="1:21" x14ac:dyDescent="0.25">
      <c r="A310" t="s">
        <v>437</v>
      </c>
      <c r="B310">
        <v>5.38</v>
      </c>
      <c r="C310">
        <v>4.53</v>
      </c>
      <c r="D310">
        <v>1.08</v>
      </c>
      <c r="E310">
        <v>0</v>
      </c>
      <c r="F310" s="25">
        <v>0</v>
      </c>
      <c r="G310">
        <v>0</v>
      </c>
      <c r="H310">
        <v>0</v>
      </c>
      <c r="I310">
        <v>0</v>
      </c>
      <c r="J310">
        <v>0</v>
      </c>
      <c r="K310">
        <v>0</v>
      </c>
      <c r="L310">
        <v>0</v>
      </c>
      <c r="M310" s="25">
        <v>0</v>
      </c>
      <c r="N310" s="25">
        <v>0</v>
      </c>
      <c r="O310">
        <v>0</v>
      </c>
      <c r="P310" s="25">
        <v>0</v>
      </c>
      <c r="Q310" s="25">
        <v>0.2392</v>
      </c>
      <c r="R310" s="26">
        <v>37741.4</v>
      </c>
      <c r="S310" s="26">
        <v>1123630000</v>
      </c>
      <c r="T310">
        <v>0</v>
      </c>
      <c r="U310" s="25">
        <v>0.49669999999999997</v>
      </c>
    </row>
    <row r="311" spans="1:21" x14ac:dyDescent="0.25">
      <c r="A311" t="s">
        <v>39</v>
      </c>
      <c r="B311">
        <v>5.68</v>
      </c>
      <c r="C311">
        <v>4.79</v>
      </c>
      <c r="D311">
        <v>1.1399999999999999</v>
      </c>
      <c r="E311">
        <v>0</v>
      </c>
      <c r="F311" s="25">
        <v>8.6999999999999994E-2</v>
      </c>
      <c r="G311">
        <v>0</v>
      </c>
      <c r="H311">
        <v>0</v>
      </c>
      <c r="I311">
        <v>0</v>
      </c>
      <c r="J311">
        <v>0</v>
      </c>
      <c r="K311">
        <v>0</v>
      </c>
      <c r="L311">
        <v>0</v>
      </c>
      <c r="M311" s="25">
        <v>0</v>
      </c>
      <c r="N311" s="25">
        <v>0</v>
      </c>
      <c r="O311">
        <v>0</v>
      </c>
      <c r="P311" s="25">
        <v>0</v>
      </c>
      <c r="Q311" s="25">
        <v>0.2392</v>
      </c>
      <c r="R311" s="26">
        <v>1682930</v>
      </c>
      <c r="S311" s="26">
        <v>1123630000</v>
      </c>
      <c r="T311">
        <v>0</v>
      </c>
      <c r="U311" s="25">
        <v>0.49669999999999997</v>
      </c>
    </row>
    <row r="312" spans="1:21" x14ac:dyDescent="0.25">
      <c r="A312" t="s">
        <v>438</v>
      </c>
      <c r="B312">
        <v>6.06</v>
      </c>
      <c r="C312">
        <v>-0.55000000000000004</v>
      </c>
      <c r="D312">
        <v>-0.13</v>
      </c>
      <c r="E312">
        <v>6.6000000000000003E-2</v>
      </c>
      <c r="F312" s="25">
        <v>0</v>
      </c>
      <c r="G312">
        <v>0.11799999999999999</v>
      </c>
      <c r="H312">
        <v>-0.24</v>
      </c>
      <c r="I312">
        <v>-7.09</v>
      </c>
      <c r="J312">
        <v>-7.0000000000000007E-2</v>
      </c>
      <c r="K312">
        <v>-34.43</v>
      </c>
      <c r="L312">
        <v>7.64</v>
      </c>
      <c r="M312" s="25">
        <v>-9.2999999999999992E-3</v>
      </c>
      <c r="N312" s="25">
        <v>-0.1202</v>
      </c>
      <c r="O312">
        <v>0.39</v>
      </c>
      <c r="P312" s="25">
        <v>-2.01E-2</v>
      </c>
      <c r="Q312" s="25">
        <v>0.2389</v>
      </c>
      <c r="R312" s="26">
        <v>1301.8599999999999</v>
      </c>
      <c r="S312" s="26">
        <v>-577159000</v>
      </c>
      <c r="T312">
        <v>-0.54</v>
      </c>
      <c r="U312" s="25">
        <v>0.27039999999999997</v>
      </c>
    </row>
    <row r="313" spans="1:21" x14ac:dyDescent="0.25">
      <c r="A313" t="s">
        <v>439</v>
      </c>
      <c r="B313">
        <v>15.3</v>
      </c>
      <c r="C313">
        <v>8.4499999999999993</v>
      </c>
      <c r="D313">
        <v>3.89</v>
      </c>
      <c r="E313">
        <v>1.157</v>
      </c>
      <c r="F313" s="25">
        <v>6.5799999999999997E-2</v>
      </c>
      <c r="G313">
        <v>1.2470000000000001</v>
      </c>
      <c r="H313">
        <v>2.16</v>
      </c>
      <c r="I313">
        <v>4.2699999999999996</v>
      </c>
      <c r="J313">
        <v>6.43</v>
      </c>
      <c r="K313">
        <v>4.46</v>
      </c>
      <c r="L313">
        <v>4.34</v>
      </c>
      <c r="M313" s="25">
        <v>0.27060000000000001</v>
      </c>
      <c r="N313" s="25">
        <v>0.15640000000000001</v>
      </c>
      <c r="O313">
        <v>3.12</v>
      </c>
      <c r="P313" s="25">
        <v>0.45750000000000002</v>
      </c>
      <c r="Q313" s="25">
        <v>0.4607</v>
      </c>
      <c r="R313" s="26">
        <v>15918100</v>
      </c>
      <c r="S313" s="26">
        <v>801581000</v>
      </c>
      <c r="T313">
        <v>0.75</v>
      </c>
      <c r="U313" s="25">
        <v>0.2828</v>
      </c>
    </row>
    <row r="314" spans="1:21" x14ac:dyDescent="0.25">
      <c r="A314" t="s">
        <v>260</v>
      </c>
      <c r="B314">
        <v>1.92</v>
      </c>
      <c r="C314">
        <v>-7.0000000000000007E-2</v>
      </c>
      <c r="D314">
        <v>-0.02</v>
      </c>
      <c r="E314">
        <v>0.28000000000000003</v>
      </c>
      <c r="F314" s="25">
        <v>0</v>
      </c>
      <c r="G314">
        <v>9.0999999999999998E-2</v>
      </c>
      <c r="H314">
        <v>-0.02</v>
      </c>
      <c r="I314">
        <v>-0.59</v>
      </c>
      <c r="J314">
        <v>-0.02</v>
      </c>
      <c r="K314">
        <v>-21.66</v>
      </c>
      <c r="L314">
        <v>-32.97</v>
      </c>
      <c r="M314" s="25">
        <v>-0.4743</v>
      </c>
      <c r="N314" s="25">
        <v>-3.7662</v>
      </c>
      <c r="O314">
        <v>0.06</v>
      </c>
      <c r="P314" s="25">
        <v>-0.28239999999999998</v>
      </c>
      <c r="Q314" s="25">
        <v>0.30370000000000003</v>
      </c>
      <c r="R314" s="26">
        <v>1410990</v>
      </c>
      <c r="S314" s="26">
        <v>-6411200000</v>
      </c>
      <c r="T314">
        <v>-0.81</v>
      </c>
      <c r="U314" s="25">
        <v>-0.47</v>
      </c>
    </row>
    <row r="315" spans="1:21" x14ac:dyDescent="0.25">
      <c r="A315" t="s">
        <v>145</v>
      </c>
      <c r="B315">
        <v>8.18</v>
      </c>
      <c r="C315">
        <v>12.63</v>
      </c>
      <c r="D315">
        <v>0.99</v>
      </c>
      <c r="E315">
        <v>0.247</v>
      </c>
      <c r="F315" s="25">
        <v>4.2099999999999999E-2</v>
      </c>
      <c r="G315">
        <v>0.38700000000000001</v>
      </c>
      <c r="H315">
        <v>1.45</v>
      </c>
      <c r="I315">
        <v>7.48</v>
      </c>
      <c r="J315">
        <v>-8.73</v>
      </c>
      <c r="K315">
        <v>13.66</v>
      </c>
      <c r="L315">
        <v>5.92</v>
      </c>
      <c r="M315" s="25">
        <v>3.3099999999999997E-2</v>
      </c>
      <c r="N315" s="25">
        <v>1.9599999999999999E-2</v>
      </c>
      <c r="O315">
        <v>1.9</v>
      </c>
      <c r="P315" s="25">
        <v>6.5500000000000003E-2</v>
      </c>
      <c r="Q315" s="25">
        <v>7.8200000000000006E-2</v>
      </c>
      <c r="R315" s="26">
        <v>3905490</v>
      </c>
      <c r="S315" s="26">
        <v>1245830000</v>
      </c>
      <c r="T315">
        <v>0.98</v>
      </c>
      <c r="U315" s="25">
        <v>0.1522</v>
      </c>
    </row>
    <row r="316" spans="1:21" x14ac:dyDescent="0.25">
      <c r="A316" t="s">
        <v>24</v>
      </c>
      <c r="B316">
        <v>6.2</v>
      </c>
      <c r="C316">
        <v>6.22</v>
      </c>
      <c r="D316">
        <v>1.78</v>
      </c>
      <c r="E316">
        <v>0.81799999999999995</v>
      </c>
      <c r="F316" s="25">
        <v>9.2700000000000005E-2</v>
      </c>
      <c r="G316">
        <v>0.78400000000000003</v>
      </c>
      <c r="H316">
        <v>3.26</v>
      </c>
      <c r="I316">
        <v>5.22</v>
      </c>
      <c r="J316">
        <v>25.81</v>
      </c>
      <c r="K316">
        <v>6.21</v>
      </c>
      <c r="L316">
        <v>5.53</v>
      </c>
      <c r="M316" s="25">
        <v>0.15670000000000001</v>
      </c>
      <c r="N316" s="25">
        <v>0.1333</v>
      </c>
      <c r="O316">
        <v>1.7</v>
      </c>
      <c r="P316" s="25">
        <v>0.2054</v>
      </c>
      <c r="Q316" s="25">
        <v>0.28589999999999999</v>
      </c>
      <c r="R316" s="26">
        <v>2197830</v>
      </c>
      <c r="S316" s="26">
        <v>3960140000</v>
      </c>
      <c r="T316">
        <v>0.78</v>
      </c>
      <c r="U316" s="25">
        <v>0.2727</v>
      </c>
    </row>
    <row r="317" spans="1:21" x14ac:dyDescent="0.25">
      <c r="A317" t="s">
        <v>96</v>
      </c>
      <c r="B317">
        <v>7.58</v>
      </c>
      <c r="C317">
        <v>7.61</v>
      </c>
      <c r="D317">
        <v>2.17</v>
      </c>
      <c r="E317">
        <v>1</v>
      </c>
      <c r="F317" s="25">
        <v>7.5899999999999995E-2</v>
      </c>
      <c r="G317">
        <v>0.95899999999999996</v>
      </c>
      <c r="H317">
        <v>3.99</v>
      </c>
      <c r="I317">
        <v>6.38</v>
      </c>
      <c r="J317">
        <v>31.56</v>
      </c>
      <c r="K317">
        <v>7.37</v>
      </c>
      <c r="L317">
        <v>6.57</v>
      </c>
      <c r="M317" s="25">
        <v>0.15670000000000001</v>
      </c>
      <c r="N317" s="25">
        <v>0.1333</v>
      </c>
      <c r="O317">
        <v>1.7</v>
      </c>
      <c r="P317" s="25">
        <v>0.2054</v>
      </c>
      <c r="Q317" s="25">
        <v>0.28589999999999999</v>
      </c>
      <c r="R317" s="26">
        <v>88262500</v>
      </c>
      <c r="S317" s="26">
        <v>3960140000</v>
      </c>
      <c r="T317">
        <v>0.78</v>
      </c>
      <c r="U317" s="25">
        <v>0.2727</v>
      </c>
    </row>
    <row r="318" spans="1:21" x14ac:dyDescent="0.25">
      <c r="A318" t="s">
        <v>38</v>
      </c>
      <c r="B318">
        <v>17.440000000000001</v>
      </c>
      <c r="C318">
        <v>13.45</v>
      </c>
      <c r="D318">
        <v>2.8</v>
      </c>
      <c r="E318">
        <v>2.52</v>
      </c>
      <c r="F318" s="25">
        <v>7.7799999999999994E-2</v>
      </c>
      <c r="G318">
        <v>1.1819999999999999</v>
      </c>
      <c r="H318">
        <v>57.12</v>
      </c>
      <c r="I318">
        <v>8.33</v>
      </c>
      <c r="J318">
        <v>-3.04</v>
      </c>
      <c r="K318">
        <v>10.63</v>
      </c>
      <c r="L318">
        <v>7.84</v>
      </c>
      <c r="M318" s="25">
        <v>0.30259999999999998</v>
      </c>
      <c r="N318" s="25">
        <v>0.18940000000000001</v>
      </c>
      <c r="O318">
        <v>1.1200000000000001</v>
      </c>
      <c r="P318" s="25">
        <v>0.16070000000000001</v>
      </c>
      <c r="Q318" s="25">
        <v>0.20810000000000001</v>
      </c>
      <c r="R318" s="26">
        <v>21302600</v>
      </c>
      <c r="S318" s="26">
        <v>2747140000</v>
      </c>
      <c r="T318">
        <v>0.99</v>
      </c>
      <c r="U318" s="25">
        <v>4.9299999999999997E-2</v>
      </c>
    </row>
    <row r="319" spans="1:21" x14ac:dyDescent="0.25">
      <c r="A319" t="s">
        <v>83</v>
      </c>
      <c r="B319">
        <v>4.46</v>
      </c>
      <c r="C319">
        <v>216.29</v>
      </c>
      <c r="D319">
        <v>0.39</v>
      </c>
      <c r="E319">
        <v>0.186</v>
      </c>
      <c r="F319" s="25">
        <v>6.1400000000000003E-2</v>
      </c>
      <c r="G319">
        <v>0.15</v>
      </c>
      <c r="H319">
        <v>0.45</v>
      </c>
      <c r="I319">
        <v>2.8</v>
      </c>
      <c r="J319">
        <v>3.78</v>
      </c>
      <c r="K319">
        <v>6.22</v>
      </c>
      <c r="L319">
        <v>4.8600000000000003</v>
      </c>
      <c r="M319" s="25">
        <v>6.6199999999999995E-2</v>
      </c>
      <c r="N319" s="25">
        <v>2.3999999999999998E-3</v>
      </c>
      <c r="O319">
        <v>2.0299999999999998</v>
      </c>
      <c r="P319" s="25">
        <v>6.9900000000000004E-2</v>
      </c>
      <c r="Q319" s="25">
        <v>1.8E-3</v>
      </c>
      <c r="R319" s="26">
        <v>6968790</v>
      </c>
      <c r="S319" s="26">
        <v>1607650000</v>
      </c>
      <c r="T319">
        <v>0.77</v>
      </c>
      <c r="U319" s="25">
        <v>7.8299999999999995E-2</v>
      </c>
    </row>
    <row r="320" spans="1:21" x14ac:dyDescent="0.25">
      <c r="A320" t="s">
        <v>168</v>
      </c>
      <c r="B320">
        <v>43.98</v>
      </c>
      <c r="C320">
        <v>3.48</v>
      </c>
      <c r="D320">
        <v>1.48</v>
      </c>
      <c r="E320">
        <v>2.5270000000000001</v>
      </c>
      <c r="F320" s="25">
        <v>0</v>
      </c>
      <c r="G320">
        <v>0.72</v>
      </c>
      <c r="H320">
        <v>6.92</v>
      </c>
      <c r="I320">
        <v>6.43</v>
      </c>
      <c r="J320">
        <v>-1.98</v>
      </c>
      <c r="K320">
        <v>9.36</v>
      </c>
      <c r="L320">
        <v>6.01</v>
      </c>
      <c r="M320" s="25">
        <v>0.39279999999999998</v>
      </c>
      <c r="N320" s="25">
        <v>0.72609999999999997</v>
      </c>
      <c r="O320">
        <v>3.19</v>
      </c>
      <c r="P320" s="25">
        <v>0.1234</v>
      </c>
      <c r="Q320" s="25">
        <v>0.42580000000000001</v>
      </c>
      <c r="R320" s="26">
        <v>429187000</v>
      </c>
      <c r="S320" s="26">
        <v>26603200000</v>
      </c>
      <c r="T320">
        <v>0.83</v>
      </c>
      <c r="U320" s="25">
        <v>0.59109999999999996</v>
      </c>
    </row>
    <row r="321" spans="1:21" x14ac:dyDescent="0.25">
      <c r="A321" t="s">
        <v>21</v>
      </c>
      <c r="B321">
        <v>15.11</v>
      </c>
      <c r="C321">
        <v>68</v>
      </c>
      <c r="D321">
        <v>2.0499999999999998</v>
      </c>
      <c r="E321">
        <v>0.56299999999999994</v>
      </c>
      <c r="F321" s="25">
        <v>3.3999999999999998E-3</v>
      </c>
      <c r="G321">
        <v>0.499</v>
      </c>
      <c r="H321">
        <v>1.81</v>
      </c>
      <c r="I321">
        <v>7.24</v>
      </c>
      <c r="J321">
        <v>-2.74</v>
      </c>
      <c r="K321">
        <v>10.44</v>
      </c>
      <c r="L321">
        <v>6.61</v>
      </c>
      <c r="M321" s="25">
        <v>7.7799999999999994E-2</v>
      </c>
      <c r="N321" s="25">
        <v>2.3099999999999999E-2</v>
      </c>
      <c r="O321">
        <v>1.96</v>
      </c>
      <c r="P321" s="25">
        <v>9.6100000000000005E-2</v>
      </c>
      <c r="Q321" s="25">
        <v>3.0200000000000001E-2</v>
      </c>
      <c r="R321" s="26">
        <v>3832070</v>
      </c>
      <c r="S321" s="26">
        <v>343979000</v>
      </c>
      <c r="T321">
        <v>1.95</v>
      </c>
      <c r="U321" s="25">
        <v>0.48799999999999999</v>
      </c>
    </row>
    <row r="322" spans="1:21" x14ac:dyDescent="0.25">
      <c r="A322" t="s">
        <v>16</v>
      </c>
      <c r="B322">
        <v>52.99</v>
      </c>
      <c r="C322">
        <v>12.12</v>
      </c>
      <c r="D322">
        <v>2.4700000000000002</v>
      </c>
      <c r="E322">
        <v>0.94399999999999995</v>
      </c>
      <c r="F322" s="25">
        <v>2.9899999999999999E-2</v>
      </c>
      <c r="G322">
        <v>0.69299999999999995</v>
      </c>
      <c r="H322">
        <v>10.97</v>
      </c>
      <c r="I322">
        <v>1.1499999999999999</v>
      </c>
      <c r="J322">
        <v>-4.2</v>
      </c>
      <c r="K322">
        <v>0.82</v>
      </c>
      <c r="L322">
        <v>0.81</v>
      </c>
      <c r="M322" s="25">
        <v>0.81850000000000001</v>
      </c>
      <c r="N322" s="25">
        <v>7.9200000000000007E-2</v>
      </c>
      <c r="O322">
        <v>1.1299999999999999</v>
      </c>
      <c r="P322" s="25">
        <v>0.75109999999999999</v>
      </c>
      <c r="Q322" s="25">
        <v>0.2039</v>
      </c>
      <c r="R322" s="26">
        <v>89573700</v>
      </c>
      <c r="S322" s="26">
        <v>13856800000</v>
      </c>
      <c r="T322">
        <v>0</v>
      </c>
      <c r="U322" s="25">
        <v>0.18590000000000001</v>
      </c>
    </row>
    <row r="323" spans="1:21" x14ac:dyDescent="0.25">
      <c r="A323" t="s">
        <v>221</v>
      </c>
      <c r="B323">
        <v>5.26</v>
      </c>
      <c r="C323">
        <v>-6.5</v>
      </c>
      <c r="D323">
        <v>2.35</v>
      </c>
      <c r="E323">
        <v>0.3</v>
      </c>
      <c r="F323" s="25">
        <v>0</v>
      </c>
      <c r="G323">
        <v>0.20499999999999999</v>
      </c>
      <c r="H323">
        <v>-3.72</v>
      </c>
      <c r="I323">
        <v>9.42</v>
      </c>
      <c r="J323">
        <v>-0.38</v>
      </c>
      <c r="K323">
        <v>22.24</v>
      </c>
      <c r="L323">
        <v>6.52</v>
      </c>
      <c r="M323" s="25">
        <v>3.1800000000000002E-2</v>
      </c>
      <c r="N323" s="25">
        <v>-4.6100000000000002E-2</v>
      </c>
      <c r="O323">
        <v>0.87</v>
      </c>
      <c r="P323" s="25">
        <v>3.15E-2</v>
      </c>
      <c r="Q323" s="25">
        <v>-0.36120000000000002</v>
      </c>
      <c r="R323" s="26">
        <v>1986020</v>
      </c>
      <c r="S323" s="26">
        <v>315773000</v>
      </c>
      <c r="T323">
        <v>4.5</v>
      </c>
      <c r="U323" s="25">
        <v>0.1201</v>
      </c>
    </row>
    <row r="324" spans="1:21" x14ac:dyDescent="0.25">
      <c r="A324" t="s">
        <v>440</v>
      </c>
      <c r="B324">
        <v>9.3800000000000008</v>
      </c>
      <c r="C324">
        <v>11.69</v>
      </c>
      <c r="D324">
        <v>1.02</v>
      </c>
      <c r="E324">
        <v>0.54800000000000004</v>
      </c>
      <c r="F324" s="25">
        <v>2.8899999999999999E-2</v>
      </c>
      <c r="G324">
        <v>0.42399999999999999</v>
      </c>
      <c r="H324">
        <v>1.24</v>
      </c>
      <c r="I324">
        <v>12.67</v>
      </c>
      <c r="J324">
        <v>7.32</v>
      </c>
      <c r="K324">
        <v>16.64</v>
      </c>
      <c r="L324">
        <v>8.2200000000000006</v>
      </c>
      <c r="M324" s="25">
        <v>4.3200000000000002E-2</v>
      </c>
      <c r="N324" s="25">
        <v>7.2099999999999997E-2</v>
      </c>
      <c r="O324">
        <v>2.56</v>
      </c>
      <c r="P324" s="25">
        <v>4.9299999999999997E-2</v>
      </c>
      <c r="Q324" s="25">
        <v>8.77E-2</v>
      </c>
      <c r="R324" s="26">
        <v>3971.6</v>
      </c>
      <c r="S324" s="26">
        <v>439823000</v>
      </c>
      <c r="T324">
        <v>0.88</v>
      </c>
      <c r="U324" s="25">
        <v>5.5800000000000002E-2</v>
      </c>
    </row>
    <row r="325" spans="1:21" x14ac:dyDescent="0.25">
      <c r="A325" t="s">
        <v>106</v>
      </c>
      <c r="B325">
        <v>4.88</v>
      </c>
      <c r="C325">
        <v>6.08</v>
      </c>
      <c r="D325">
        <v>0.53</v>
      </c>
      <c r="E325">
        <v>0.28499999999999998</v>
      </c>
      <c r="F325" s="25">
        <v>5.5500000000000001E-2</v>
      </c>
      <c r="G325">
        <v>0.221</v>
      </c>
      <c r="H325">
        <v>0.65</v>
      </c>
      <c r="I325">
        <v>6.59</v>
      </c>
      <c r="J325">
        <v>3.81</v>
      </c>
      <c r="K325">
        <v>10.57</v>
      </c>
      <c r="L325">
        <v>5.22</v>
      </c>
      <c r="M325" s="25">
        <v>4.3200000000000002E-2</v>
      </c>
      <c r="N325" s="25">
        <v>7.2099999999999997E-2</v>
      </c>
      <c r="O325">
        <v>2.56</v>
      </c>
      <c r="P325" s="25">
        <v>4.9299999999999997E-2</v>
      </c>
      <c r="Q325" s="25">
        <v>8.77E-2</v>
      </c>
      <c r="R325" s="26">
        <v>127005</v>
      </c>
      <c r="S325" s="26">
        <v>439823000</v>
      </c>
      <c r="T325">
        <v>0.88</v>
      </c>
      <c r="U325" s="25">
        <v>5.5800000000000002E-2</v>
      </c>
    </row>
    <row r="326" spans="1:21" x14ac:dyDescent="0.25">
      <c r="A326" t="s">
        <v>144</v>
      </c>
      <c r="B326">
        <v>1.91</v>
      </c>
      <c r="C326">
        <v>144.01</v>
      </c>
      <c r="D326">
        <v>0.42</v>
      </c>
      <c r="E326">
        <v>0.35</v>
      </c>
      <c r="F326" s="25">
        <v>0</v>
      </c>
      <c r="G326">
        <v>0.123</v>
      </c>
      <c r="H326">
        <v>3.93</v>
      </c>
      <c r="I326">
        <v>1.03</v>
      </c>
      <c r="J326">
        <v>-0.41</v>
      </c>
      <c r="K326">
        <v>2.69</v>
      </c>
      <c r="L326">
        <v>1.58</v>
      </c>
      <c r="M326" s="25">
        <v>0.33879999999999999</v>
      </c>
      <c r="N326" s="25">
        <v>8.0000000000000002E-3</v>
      </c>
      <c r="O326">
        <v>1.08</v>
      </c>
      <c r="P326" s="25">
        <v>0.1847</v>
      </c>
      <c r="Q326" s="25">
        <v>2.8999999999999998E-3</v>
      </c>
      <c r="R326" s="26">
        <v>4529080</v>
      </c>
      <c r="S326" s="26">
        <v>1297730000</v>
      </c>
      <c r="T326">
        <v>1.49</v>
      </c>
      <c r="U326" s="25">
        <v>-7.3200000000000001E-2</v>
      </c>
    </row>
    <row r="327" spans="1:21" x14ac:dyDescent="0.25">
      <c r="A327" t="s">
        <v>98</v>
      </c>
      <c r="B327">
        <v>13.88</v>
      </c>
      <c r="C327">
        <v>20.28</v>
      </c>
      <c r="D327">
        <v>3.68</v>
      </c>
      <c r="E327">
        <v>0.59899999999999998</v>
      </c>
      <c r="F327" s="25">
        <v>2.7E-2</v>
      </c>
      <c r="G327">
        <v>1.054</v>
      </c>
      <c r="H327">
        <v>7.09</v>
      </c>
      <c r="I327">
        <v>10.34</v>
      </c>
      <c r="J327">
        <v>-7.88</v>
      </c>
      <c r="K327">
        <v>11.51</v>
      </c>
      <c r="L327">
        <v>6.39</v>
      </c>
      <c r="M327" s="25">
        <v>5.79E-2</v>
      </c>
      <c r="N327" s="25">
        <v>2.9700000000000001E-2</v>
      </c>
      <c r="O327">
        <v>1.34</v>
      </c>
      <c r="P327" s="25">
        <v>0.1431</v>
      </c>
      <c r="Q327" s="25">
        <v>0.18129999999999999</v>
      </c>
      <c r="R327" s="26">
        <v>229623000</v>
      </c>
      <c r="S327" s="26">
        <v>6485910000</v>
      </c>
      <c r="T327">
        <v>0.49</v>
      </c>
      <c r="U327" s="25">
        <v>0.17849999999999999</v>
      </c>
    </row>
    <row r="328" spans="1:21" x14ac:dyDescent="0.25">
      <c r="A328" t="s">
        <v>54</v>
      </c>
      <c r="B328">
        <v>19.13</v>
      </c>
      <c r="C328">
        <v>-24.85</v>
      </c>
      <c r="D328">
        <v>2.4300000000000002</v>
      </c>
      <c r="E328">
        <v>2.5790000000000002</v>
      </c>
      <c r="F328" s="25">
        <v>0</v>
      </c>
      <c r="G328">
        <v>0.69</v>
      </c>
      <c r="H328">
        <v>6.97</v>
      </c>
      <c r="I328">
        <v>6.27</v>
      </c>
      <c r="J328">
        <v>-1.37</v>
      </c>
      <c r="K328">
        <v>8.59</v>
      </c>
      <c r="L328">
        <v>4.28</v>
      </c>
      <c r="M328" s="25">
        <v>0.41110000000000002</v>
      </c>
      <c r="N328" s="25">
        <v>-0.1028</v>
      </c>
      <c r="O328">
        <v>1.9</v>
      </c>
      <c r="P328" s="25">
        <v>0.13270000000000001</v>
      </c>
      <c r="Q328" s="25">
        <v>-9.7799999999999998E-2</v>
      </c>
      <c r="R328" s="26">
        <v>227505000</v>
      </c>
      <c r="S328" s="26">
        <v>14598900000</v>
      </c>
      <c r="T328">
        <v>1.44</v>
      </c>
      <c r="U328" s="25">
        <v>0.18099999999999999</v>
      </c>
    </row>
    <row r="329" spans="1:21" x14ac:dyDescent="0.25">
      <c r="A329" t="s">
        <v>231</v>
      </c>
      <c r="B329">
        <v>1.83</v>
      </c>
      <c r="C329">
        <v>-4.45</v>
      </c>
      <c r="D329">
        <v>1.08</v>
      </c>
      <c r="E329">
        <v>7.3999999999999996E-2</v>
      </c>
      <c r="F329" s="25">
        <v>5.4999999999999997E-3</v>
      </c>
      <c r="G329">
        <v>0.13400000000000001</v>
      </c>
      <c r="H329">
        <v>1.25</v>
      </c>
      <c r="I329">
        <v>7.75</v>
      </c>
      <c r="J329">
        <v>-0.31</v>
      </c>
      <c r="K329">
        <v>26.85</v>
      </c>
      <c r="L329">
        <v>5.56</v>
      </c>
      <c r="M329" s="25">
        <v>9.5999999999999992E-3</v>
      </c>
      <c r="N329" s="25">
        <v>-1.6400000000000001E-2</v>
      </c>
      <c r="O329">
        <v>1.33</v>
      </c>
      <c r="P329" s="25">
        <v>2.5100000000000001E-2</v>
      </c>
      <c r="Q329" s="25">
        <v>-0.24199999999999999</v>
      </c>
      <c r="R329" s="26">
        <v>31314000</v>
      </c>
      <c r="S329" s="26">
        <v>17588500000</v>
      </c>
      <c r="T329">
        <v>3.89</v>
      </c>
      <c r="U329" s="25">
        <v>0.25109999999999999</v>
      </c>
    </row>
    <row r="330" spans="1:21" x14ac:dyDescent="0.25">
      <c r="A330" t="s">
        <v>203</v>
      </c>
      <c r="B330">
        <v>7.56</v>
      </c>
      <c r="C330">
        <v>5.62</v>
      </c>
      <c r="D330">
        <v>1.28</v>
      </c>
      <c r="E330">
        <v>1.0880000000000001</v>
      </c>
      <c r="F330" s="25">
        <v>8.7599999999999997E-2</v>
      </c>
      <c r="G330">
        <v>0.49199999999999999</v>
      </c>
      <c r="H330">
        <v>1.94</v>
      </c>
      <c r="I330">
        <v>4.7699999999999996</v>
      </c>
      <c r="J330">
        <v>-1.89</v>
      </c>
      <c r="K330">
        <v>7.66</v>
      </c>
      <c r="L330">
        <v>4.99</v>
      </c>
      <c r="M330" s="25">
        <v>0.22800000000000001</v>
      </c>
      <c r="N330" s="25">
        <v>0.19350000000000001</v>
      </c>
      <c r="O330">
        <v>3.51</v>
      </c>
      <c r="P330" s="25">
        <v>0.13189999999999999</v>
      </c>
      <c r="Q330" s="25">
        <v>0.22839999999999999</v>
      </c>
      <c r="R330" s="26">
        <v>4882070</v>
      </c>
      <c r="S330" s="26">
        <v>1412250000</v>
      </c>
      <c r="T330">
        <v>1.25</v>
      </c>
      <c r="U330" s="25">
        <v>7.1400000000000005E-2</v>
      </c>
    </row>
    <row r="331" spans="1:21" x14ac:dyDescent="0.25">
      <c r="A331" t="s">
        <v>131</v>
      </c>
      <c r="B331">
        <v>8.0299999999999994</v>
      </c>
      <c r="C331">
        <v>8.2899999999999991</v>
      </c>
      <c r="D331">
        <v>0.85</v>
      </c>
      <c r="E331">
        <v>0.21</v>
      </c>
      <c r="F331" s="25">
        <v>5.11E-2</v>
      </c>
      <c r="G331">
        <v>0.14599999999999999</v>
      </c>
      <c r="H331">
        <v>0.52</v>
      </c>
      <c r="I331">
        <v>1.85</v>
      </c>
      <c r="J331">
        <v>-0.68</v>
      </c>
      <c r="K331">
        <v>6.62</v>
      </c>
      <c r="L331">
        <v>5.24</v>
      </c>
      <c r="M331" s="25">
        <v>0.1138</v>
      </c>
      <c r="N331" s="25">
        <v>4.6100000000000002E-2</v>
      </c>
      <c r="O331">
        <v>2.06</v>
      </c>
      <c r="P331" s="25">
        <v>9.9099999999999994E-2</v>
      </c>
      <c r="Q331" s="25">
        <v>0.1027</v>
      </c>
      <c r="R331" s="26">
        <v>380908</v>
      </c>
      <c r="S331" s="26">
        <v>3105150000</v>
      </c>
      <c r="T331">
        <v>2.93</v>
      </c>
      <c r="U331" s="25">
        <v>0.16830000000000001</v>
      </c>
    </row>
    <row r="332" spans="1:21" x14ac:dyDescent="0.25">
      <c r="A332" t="s">
        <v>130</v>
      </c>
      <c r="B332">
        <v>8.65</v>
      </c>
      <c r="C332">
        <v>8.93</v>
      </c>
      <c r="D332">
        <v>0.92</v>
      </c>
      <c r="E332">
        <v>0.22700000000000001</v>
      </c>
      <c r="F332" s="25">
        <v>4.7399999999999998E-2</v>
      </c>
      <c r="G332">
        <v>0.157</v>
      </c>
      <c r="H332">
        <v>0.56000000000000005</v>
      </c>
      <c r="I332">
        <v>1.99</v>
      </c>
      <c r="J332">
        <v>-0.73</v>
      </c>
      <c r="K332">
        <v>6.76</v>
      </c>
      <c r="L332">
        <v>5.35</v>
      </c>
      <c r="M332" s="25">
        <v>0.1138</v>
      </c>
      <c r="N332" s="25">
        <v>4.6100000000000002E-2</v>
      </c>
      <c r="O332">
        <v>2.06</v>
      </c>
      <c r="P332" s="25">
        <v>9.9099999999999994E-2</v>
      </c>
      <c r="Q332" s="25">
        <v>0.1027</v>
      </c>
      <c r="R332" s="26">
        <v>32447100</v>
      </c>
      <c r="S332" s="26">
        <v>3105150000</v>
      </c>
      <c r="T332">
        <v>2.93</v>
      </c>
      <c r="U332" s="25">
        <v>0.16830000000000001</v>
      </c>
    </row>
    <row r="333" spans="1:21" x14ac:dyDescent="0.25">
      <c r="A333" t="s">
        <v>263</v>
      </c>
      <c r="B333">
        <v>2.5</v>
      </c>
      <c r="C333">
        <v>-4.1900000000000004</v>
      </c>
      <c r="D333">
        <v>-4.0999999999999996</v>
      </c>
      <c r="E333">
        <v>7.2960000000000003</v>
      </c>
      <c r="F333" s="25">
        <v>0</v>
      </c>
      <c r="G333">
        <v>1.7050000000000001</v>
      </c>
      <c r="H333">
        <v>-11.01</v>
      </c>
      <c r="I333">
        <v>-17.16</v>
      </c>
      <c r="J333">
        <v>-1.57</v>
      </c>
      <c r="K333">
        <v>-17.16</v>
      </c>
      <c r="L333">
        <v>-33.340000000000003</v>
      </c>
      <c r="M333" s="25">
        <v>-0.42530000000000001</v>
      </c>
      <c r="N333" s="25">
        <v>-1.8663000000000001</v>
      </c>
      <c r="O333">
        <v>0.68</v>
      </c>
      <c r="P333" s="25">
        <v>-0.1026</v>
      </c>
      <c r="Q333" s="25">
        <v>0.98080000000000001</v>
      </c>
      <c r="R333" s="26">
        <v>1338800</v>
      </c>
      <c r="S333" s="26">
        <v>-19381000</v>
      </c>
      <c r="T333">
        <v>0</v>
      </c>
      <c r="U333" s="25">
        <v>-0.2402</v>
      </c>
    </row>
    <row r="334" spans="1:21" x14ac:dyDescent="0.25">
      <c r="A334" t="s">
        <v>172</v>
      </c>
      <c r="B334">
        <v>0.98</v>
      </c>
      <c r="C334">
        <v>-1.64</v>
      </c>
      <c r="D334">
        <v>-1.61</v>
      </c>
      <c r="E334">
        <v>2.86</v>
      </c>
      <c r="F334" s="25">
        <v>0</v>
      </c>
      <c r="G334">
        <v>0.66800000000000004</v>
      </c>
      <c r="H334">
        <v>-4.3099999999999996</v>
      </c>
      <c r="I334">
        <v>-6.73</v>
      </c>
      <c r="J334">
        <v>-0.62</v>
      </c>
      <c r="K334">
        <v>-6.72</v>
      </c>
      <c r="L334">
        <v>-13.07</v>
      </c>
      <c r="M334" s="25">
        <v>-0.42530000000000001</v>
      </c>
      <c r="N334" s="25">
        <v>-1.8663000000000001</v>
      </c>
      <c r="O334">
        <v>0.68</v>
      </c>
      <c r="P334" s="25">
        <v>-0.1026</v>
      </c>
      <c r="Q334" s="25">
        <v>0.98080000000000001</v>
      </c>
      <c r="R334" s="26">
        <v>4380220</v>
      </c>
      <c r="S334" s="26">
        <v>-19381000</v>
      </c>
      <c r="T334">
        <v>0</v>
      </c>
      <c r="U334" s="25">
        <v>-0.2402</v>
      </c>
    </row>
    <row r="335" spans="1:21" x14ac:dyDescent="0.25">
      <c r="A335" t="s">
        <v>224</v>
      </c>
      <c r="B335">
        <v>2.52</v>
      </c>
      <c r="C335">
        <v>-0.8</v>
      </c>
      <c r="D335">
        <v>0.5</v>
      </c>
      <c r="E335">
        <v>0.22700000000000001</v>
      </c>
      <c r="F335" s="25">
        <v>0</v>
      </c>
      <c r="G335">
        <v>8.3000000000000004E-2</v>
      </c>
      <c r="H335">
        <v>0.38</v>
      </c>
      <c r="I335">
        <v>-2.0299999999999998</v>
      </c>
      <c r="J335">
        <v>-0.25</v>
      </c>
      <c r="K335">
        <v>-11.9</v>
      </c>
      <c r="L335">
        <v>-13.53</v>
      </c>
      <c r="M335" s="25">
        <v>-0.1118</v>
      </c>
      <c r="N335" s="25">
        <v>-0.2767</v>
      </c>
      <c r="O335">
        <v>1.79</v>
      </c>
      <c r="P335" s="25">
        <v>-4.2700000000000002E-2</v>
      </c>
      <c r="Q335" s="25">
        <v>-0.62760000000000005</v>
      </c>
      <c r="R335" s="26">
        <v>23857</v>
      </c>
      <c r="S335" s="26">
        <v>220547000</v>
      </c>
      <c r="T335">
        <v>2.5499999999999998</v>
      </c>
      <c r="U335" s="25">
        <v>4.4600000000000001E-2</v>
      </c>
    </row>
    <row r="336" spans="1:21" x14ac:dyDescent="0.25">
      <c r="A336" t="s">
        <v>176</v>
      </c>
      <c r="B336">
        <v>35.1</v>
      </c>
      <c r="C336">
        <v>19.68</v>
      </c>
      <c r="D336">
        <v>3.21</v>
      </c>
      <c r="E336">
        <v>1.5649999999999999</v>
      </c>
      <c r="F336" s="25">
        <v>1.9800000000000002E-2</v>
      </c>
      <c r="G336">
        <v>0.77</v>
      </c>
      <c r="H336">
        <v>2.34</v>
      </c>
      <c r="I336">
        <v>10.199999999999999</v>
      </c>
      <c r="J336">
        <v>-3.35</v>
      </c>
      <c r="K336">
        <v>9.93</v>
      </c>
      <c r="L336">
        <v>8.18</v>
      </c>
      <c r="M336" s="25">
        <v>0.15340000000000001</v>
      </c>
      <c r="N336" s="25">
        <v>8.1100000000000005E-2</v>
      </c>
      <c r="O336">
        <v>2.87</v>
      </c>
      <c r="P336" s="25">
        <v>0.12540000000000001</v>
      </c>
      <c r="Q336" s="25">
        <v>0.1633</v>
      </c>
      <c r="R336" s="26">
        <v>188913000</v>
      </c>
      <c r="S336" s="26">
        <v>25003000000</v>
      </c>
      <c r="T336">
        <v>1.51</v>
      </c>
      <c r="U336" s="25">
        <v>0.37930000000000003</v>
      </c>
    </row>
    <row r="337" spans="1:21" x14ac:dyDescent="0.25">
      <c r="A337" t="s">
        <v>441</v>
      </c>
      <c r="B337">
        <v>4</v>
      </c>
      <c r="C337">
        <v>42.38</v>
      </c>
      <c r="D337">
        <v>1.92</v>
      </c>
      <c r="E337">
        <v>9.2639999999999993</v>
      </c>
      <c r="F337" s="25">
        <v>0</v>
      </c>
      <c r="G337">
        <v>1.802</v>
      </c>
      <c r="H337">
        <v>1.97</v>
      </c>
      <c r="I337">
        <v>-29.66</v>
      </c>
      <c r="J337">
        <v>1.97</v>
      </c>
      <c r="K337">
        <v>-14.24</v>
      </c>
      <c r="L337">
        <v>-19.5</v>
      </c>
      <c r="M337" s="25">
        <v>-0.31230000000000002</v>
      </c>
      <c r="N337" s="25">
        <v>0.21859999999999999</v>
      </c>
      <c r="O337">
        <v>16.47</v>
      </c>
      <c r="P337" s="25">
        <v>-1.5592999999999999</v>
      </c>
      <c r="Q337" s="25">
        <v>4.53E-2</v>
      </c>
      <c r="R337" s="26">
        <v>36169.699999999997</v>
      </c>
      <c r="S337" s="26">
        <v>293687000</v>
      </c>
      <c r="T337">
        <v>0</v>
      </c>
      <c r="U337" s="25">
        <v>1.7399999999999999E-2</v>
      </c>
    </row>
    <row r="338" spans="1:21" x14ac:dyDescent="0.25">
      <c r="A338" t="s">
        <v>170</v>
      </c>
      <c r="B338">
        <v>15.56</v>
      </c>
      <c r="C338">
        <v>8.23</v>
      </c>
      <c r="D338">
        <v>1.02</v>
      </c>
      <c r="E338">
        <v>1.351</v>
      </c>
      <c r="F338" s="25">
        <v>0.1409</v>
      </c>
      <c r="G338">
        <v>0.61299999999999999</v>
      </c>
      <c r="H338">
        <v>4.87</v>
      </c>
      <c r="I338">
        <v>4.4800000000000004</v>
      </c>
      <c r="J338">
        <v>-3.22</v>
      </c>
      <c r="K338">
        <v>5.3</v>
      </c>
      <c r="L338">
        <v>3.13</v>
      </c>
      <c r="M338" s="25">
        <v>0.30180000000000001</v>
      </c>
      <c r="N338" s="25">
        <v>0.16420000000000001</v>
      </c>
      <c r="O338">
        <v>2.4700000000000002</v>
      </c>
      <c r="P338" s="25">
        <v>0.1681</v>
      </c>
      <c r="Q338" s="25">
        <v>0.12429999999999999</v>
      </c>
      <c r="R338" s="26">
        <v>50099500</v>
      </c>
      <c r="S338" s="26">
        <v>4463790000</v>
      </c>
      <c r="T338">
        <v>0.42</v>
      </c>
      <c r="U338" s="25">
        <v>0.26989999999999997</v>
      </c>
    </row>
    <row r="339" spans="1:21" x14ac:dyDescent="0.25">
      <c r="A339" t="s">
        <v>69</v>
      </c>
      <c r="B339">
        <v>6.82</v>
      </c>
      <c r="C339">
        <v>10.84</v>
      </c>
      <c r="D339">
        <v>3.46</v>
      </c>
      <c r="E339">
        <v>0.79600000000000004</v>
      </c>
      <c r="F339" s="25">
        <v>8.8900000000000007E-2</v>
      </c>
      <c r="G339">
        <v>0.47799999999999998</v>
      </c>
      <c r="H339">
        <v>6.54</v>
      </c>
      <c r="I339">
        <v>4.17</v>
      </c>
      <c r="J339">
        <v>-0.9</v>
      </c>
      <c r="K339">
        <v>7.98</v>
      </c>
      <c r="L339">
        <v>6.31</v>
      </c>
      <c r="M339" s="25">
        <v>0.1908</v>
      </c>
      <c r="N339" s="25">
        <v>0.10059999999999999</v>
      </c>
      <c r="O339">
        <v>1.38</v>
      </c>
      <c r="P339" s="25">
        <v>0.13450000000000001</v>
      </c>
      <c r="Q339" s="25">
        <v>0.31929999999999997</v>
      </c>
      <c r="R339" s="26">
        <v>9183.86</v>
      </c>
      <c r="S339" s="26">
        <v>4157530000</v>
      </c>
      <c r="T339">
        <v>3.88</v>
      </c>
      <c r="U339" s="25">
        <v>9.06E-2</v>
      </c>
    </row>
    <row r="340" spans="1:21" x14ac:dyDescent="0.25">
      <c r="A340" t="s">
        <v>129</v>
      </c>
      <c r="B340">
        <v>44.02</v>
      </c>
      <c r="C340">
        <v>24.78</v>
      </c>
      <c r="D340">
        <v>1.8</v>
      </c>
      <c r="E340">
        <v>1.2310000000000001</v>
      </c>
      <c r="F340" s="25">
        <v>3.7499999999999999E-2</v>
      </c>
      <c r="G340">
        <v>0.58899999999999997</v>
      </c>
      <c r="H340">
        <v>9.0399999999999991</v>
      </c>
      <c r="I340">
        <v>7.92</v>
      </c>
      <c r="J340">
        <v>-1.29</v>
      </c>
      <c r="K340">
        <v>13.67</v>
      </c>
      <c r="L340">
        <v>6.68</v>
      </c>
      <c r="M340" s="25">
        <v>0.15540000000000001</v>
      </c>
      <c r="N340" s="25">
        <v>4.9599999999999998E-2</v>
      </c>
      <c r="O340">
        <v>1.43</v>
      </c>
      <c r="P340" s="25">
        <v>8.9300000000000004E-2</v>
      </c>
      <c r="Q340" s="25">
        <v>7.2800000000000004E-2</v>
      </c>
      <c r="R340" s="26">
        <v>407887000</v>
      </c>
      <c r="S340" s="26">
        <v>26432600000</v>
      </c>
      <c r="T340">
        <v>1.62</v>
      </c>
      <c r="U340" s="25">
        <v>0.4466</v>
      </c>
    </row>
    <row r="341" spans="1:21" x14ac:dyDescent="0.25">
      <c r="A341" t="s">
        <v>442</v>
      </c>
      <c r="B341">
        <v>3.58</v>
      </c>
      <c r="C341">
        <v>-3.94</v>
      </c>
      <c r="D341">
        <v>0.59</v>
      </c>
      <c r="E341">
        <v>1.4770000000000001</v>
      </c>
      <c r="F341" s="25">
        <v>0</v>
      </c>
      <c r="G341">
        <v>0.14099999999999999</v>
      </c>
      <c r="H341">
        <v>-2.98</v>
      </c>
      <c r="I341">
        <v>-5.98</v>
      </c>
      <c r="J341">
        <v>-0.22</v>
      </c>
      <c r="K341">
        <v>-19.989999999999998</v>
      </c>
      <c r="L341">
        <v>47.53</v>
      </c>
      <c r="M341" s="25">
        <v>-0.247</v>
      </c>
      <c r="N341" s="25">
        <v>-0.37469999999999998</v>
      </c>
      <c r="O341">
        <v>0.72</v>
      </c>
      <c r="P341" s="25">
        <v>-2.4899999999999999E-2</v>
      </c>
      <c r="Q341" s="25">
        <v>-0.14860000000000001</v>
      </c>
      <c r="R341" s="26">
        <v>24181.4</v>
      </c>
      <c r="S341" s="26">
        <v>758413000</v>
      </c>
      <c r="T341">
        <v>1.51</v>
      </c>
      <c r="U341" s="25">
        <v>0.39360000000000001</v>
      </c>
    </row>
    <row r="342" spans="1:21" x14ac:dyDescent="0.25">
      <c r="A342" t="s">
        <v>70</v>
      </c>
      <c r="B342">
        <v>1.1599999999999999</v>
      </c>
      <c r="C342">
        <v>-3.83</v>
      </c>
      <c r="D342">
        <v>0.56999999999999995</v>
      </c>
      <c r="E342">
        <v>1.4359999999999999</v>
      </c>
      <c r="F342" s="25">
        <v>0</v>
      </c>
      <c r="G342">
        <v>0.13700000000000001</v>
      </c>
      <c r="H342">
        <v>-2.89</v>
      </c>
      <c r="I342">
        <v>-5.81</v>
      </c>
      <c r="J342">
        <v>-0.21</v>
      </c>
      <c r="K342">
        <v>-19.82</v>
      </c>
      <c r="L342">
        <v>47.13</v>
      </c>
      <c r="M342" s="25">
        <v>-0.247</v>
      </c>
      <c r="N342" s="25">
        <v>-0.37469999999999998</v>
      </c>
      <c r="O342">
        <v>0.72</v>
      </c>
      <c r="P342" s="25">
        <v>-2.4899999999999999E-2</v>
      </c>
      <c r="Q342" s="25">
        <v>-0.14860000000000001</v>
      </c>
      <c r="R342" s="26">
        <v>80046.3</v>
      </c>
      <c r="S342" s="26">
        <v>758413000</v>
      </c>
      <c r="T342">
        <v>1.51</v>
      </c>
      <c r="U342" s="25">
        <v>0.39360000000000001</v>
      </c>
    </row>
    <row r="343" spans="1:21" x14ac:dyDescent="0.25">
      <c r="A343" t="s">
        <v>88</v>
      </c>
      <c r="B343">
        <v>1.1200000000000001</v>
      </c>
      <c r="C343">
        <v>-3.7</v>
      </c>
      <c r="D343">
        <v>0.55000000000000004</v>
      </c>
      <c r="E343">
        <v>1.3859999999999999</v>
      </c>
      <c r="F343" s="25">
        <v>0</v>
      </c>
      <c r="G343">
        <v>0.13200000000000001</v>
      </c>
      <c r="H343">
        <v>-2.79</v>
      </c>
      <c r="I343">
        <v>-5.61</v>
      </c>
      <c r="J343">
        <v>-0.21</v>
      </c>
      <c r="K343">
        <v>-19.62</v>
      </c>
      <c r="L343">
        <v>46.66</v>
      </c>
      <c r="M343" s="25">
        <v>-0.247</v>
      </c>
      <c r="N343" s="25">
        <v>-0.37469999999999998</v>
      </c>
      <c r="O343">
        <v>0.72</v>
      </c>
      <c r="P343" s="25">
        <v>-2.4899999999999999E-2</v>
      </c>
      <c r="Q343" s="25">
        <v>-0.14860000000000001</v>
      </c>
      <c r="R343" s="26">
        <v>165378</v>
      </c>
      <c r="S343" s="26">
        <v>758413000</v>
      </c>
      <c r="T343">
        <v>1.51</v>
      </c>
      <c r="U343" s="25">
        <v>0.39360000000000001</v>
      </c>
    </row>
    <row r="344" spans="1:21" x14ac:dyDescent="0.25">
      <c r="A344" t="s">
        <v>52</v>
      </c>
      <c r="B344">
        <v>9.3800000000000008</v>
      </c>
      <c r="C344">
        <v>8.25</v>
      </c>
      <c r="D344">
        <v>0.72</v>
      </c>
      <c r="E344">
        <v>0.68</v>
      </c>
      <c r="F344" s="25">
        <v>9.2799999999999994E-2</v>
      </c>
      <c r="G344">
        <v>0.35199999999999998</v>
      </c>
      <c r="H344">
        <v>1.1000000000000001</v>
      </c>
      <c r="I344">
        <v>10.81</v>
      </c>
      <c r="J344">
        <v>3.48</v>
      </c>
      <c r="K344">
        <v>16.989999999999998</v>
      </c>
      <c r="L344">
        <v>9.5299999999999994</v>
      </c>
      <c r="M344" s="25">
        <v>6.2899999999999998E-2</v>
      </c>
      <c r="N344" s="25">
        <v>8.3400000000000002E-2</v>
      </c>
      <c r="O344">
        <v>2.12</v>
      </c>
      <c r="P344" s="25">
        <v>3.9E-2</v>
      </c>
      <c r="Q344" s="25">
        <v>8.6999999999999994E-2</v>
      </c>
      <c r="R344" s="26">
        <v>969014</v>
      </c>
      <c r="S344" s="26">
        <v>1218040000</v>
      </c>
      <c r="T344">
        <v>0.65</v>
      </c>
      <c r="U344" s="25">
        <v>2.3900000000000001E-2</v>
      </c>
    </row>
    <row r="345" spans="1:21" x14ac:dyDescent="0.25">
      <c r="A345" t="s">
        <v>443</v>
      </c>
      <c r="B345">
        <v>4.12</v>
      </c>
      <c r="C345">
        <v>-2.92</v>
      </c>
      <c r="D345">
        <v>0.37</v>
      </c>
      <c r="E345">
        <v>0</v>
      </c>
      <c r="F345" s="25">
        <v>0</v>
      </c>
      <c r="G345">
        <v>0.36299999999999999</v>
      </c>
      <c r="H345">
        <v>2.85</v>
      </c>
      <c r="I345">
        <v>-181.34</v>
      </c>
      <c r="J345">
        <v>3.01</v>
      </c>
      <c r="K345">
        <v>-117.19</v>
      </c>
      <c r="L345">
        <v>-117.19</v>
      </c>
      <c r="M345" s="25">
        <v>0</v>
      </c>
      <c r="N345" s="25">
        <v>0</v>
      </c>
      <c r="O345">
        <v>31.58</v>
      </c>
      <c r="P345" s="25">
        <v>-2.3E-3</v>
      </c>
      <c r="Q345" s="25">
        <v>-0.12570000000000001</v>
      </c>
      <c r="R345" s="26">
        <v>308.26</v>
      </c>
      <c r="S345" s="26">
        <v>949721000</v>
      </c>
      <c r="T345">
        <v>0</v>
      </c>
      <c r="U345" s="25">
        <v>0</v>
      </c>
    </row>
    <row r="346" spans="1:21" x14ac:dyDescent="0.25">
      <c r="A346" t="s">
        <v>444</v>
      </c>
      <c r="B346">
        <v>7.15</v>
      </c>
      <c r="C346">
        <v>-5.07</v>
      </c>
      <c r="D346">
        <v>0.64</v>
      </c>
      <c r="E346">
        <v>0</v>
      </c>
      <c r="F346" s="25">
        <v>8.6499999999999994E-2</v>
      </c>
      <c r="G346">
        <v>0.63</v>
      </c>
      <c r="H346">
        <v>4.95</v>
      </c>
      <c r="I346">
        <v>-314.7</v>
      </c>
      <c r="J346">
        <v>5.23</v>
      </c>
      <c r="K346">
        <v>-250.55</v>
      </c>
      <c r="L346">
        <v>-250.55</v>
      </c>
      <c r="M346" s="25">
        <v>0</v>
      </c>
      <c r="N346" s="25">
        <v>0</v>
      </c>
      <c r="O346">
        <v>31.58</v>
      </c>
      <c r="P346" s="25">
        <v>-2.3E-3</v>
      </c>
      <c r="Q346" s="25">
        <v>-0.12570000000000001</v>
      </c>
      <c r="R346" s="26">
        <v>1107.31</v>
      </c>
      <c r="S346" s="26">
        <v>949721000</v>
      </c>
      <c r="T346">
        <v>0</v>
      </c>
      <c r="U346" s="25">
        <v>0</v>
      </c>
    </row>
    <row r="347" spans="1:21" x14ac:dyDescent="0.25">
      <c r="A347" t="s">
        <v>445</v>
      </c>
      <c r="B347">
        <v>4.2</v>
      </c>
      <c r="C347">
        <v>-2.98</v>
      </c>
      <c r="D347">
        <v>0.37</v>
      </c>
      <c r="E347">
        <v>0</v>
      </c>
      <c r="F347" s="25">
        <v>0</v>
      </c>
      <c r="G347">
        <v>0.37</v>
      </c>
      <c r="H347">
        <v>2.9</v>
      </c>
      <c r="I347">
        <v>-184.86</v>
      </c>
      <c r="J347">
        <v>3.07</v>
      </c>
      <c r="K347">
        <v>-120.71</v>
      </c>
      <c r="L347">
        <v>-120.71</v>
      </c>
      <c r="M347" s="25">
        <v>0</v>
      </c>
      <c r="N347" s="25">
        <v>0</v>
      </c>
      <c r="O347">
        <v>31.58</v>
      </c>
      <c r="P347" s="25">
        <v>-2.3E-3</v>
      </c>
      <c r="Q347" s="25">
        <v>-0.12570000000000001</v>
      </c>
      <c r="R347" s="26">
        <v>126.19</v>
      </c>
      <c r="S347" s="26">
        <v>949721000</v>
      </c>
      <c r="T347">
        <v>0</v>
      </c>
      <c r="U347" s="25">
        <v>0</v>
      </c>
    </row>
    <row r="348" spans="1:21" x14ac:dyDescent="0.25">
      <c r="A348" t="s">
        <v>8</v>
      </c>
      <c r="B348">
        <v>2.88</v>
      </c>
      <c r="C348">
        <v>-0.15</v>
      </c>
      <c r="D348">
        <v>-0.03</v>
      </c>
      <c r="E348">
        <v>2.5999999999999999E-2</v>
      </c>
      <c r="F348" s="25">
        <v>0</v>
      </c>
      <c r="G348">
        <v>2.1000000000000001E-2</v>
      </c>
      <c r="H348">
        <v>-0.08</v>
      </c>
      <c r="I348">
        <v>-0.12</v>
      </c>
      <c r="J348">
        <v>-0.03</v>
      </c>
      <c r="K348">
        <v>-0.09</v>
      </c>
      <c r="L348">
        <v>-0.1</v>
      </c>
      <c r="M348" s="25">
        <v>-0.21099999999999999</v>
      </c>
      <c r="N348" s="25">
        <v>-0.17660000000000001</v>
      </c>
      <c r="O348">
        <v>0.78</v>
      </c>
      <c r="P348" s="25">
        <v>-0.17799999999999999</v>
      </c>
      <c r="Q348" s="25">
        <v>0.19389999999999999</v>
      </c>
      <c r="R348" s="26">
        <v>12808.9</v>
      </c>
      <c r="S348" s="26">
        <v>-6919010000</v>
      </c>
      <c r="T348">
        <v>0</v>
      </c>
      <c r="U348" s="25">
        <v>0.46329999999999999</v>
      </c>
    </row>
    <row r="349" spans="1:21" x14ac:dyDescent="0.25">
      <c r="A349" t="s">
        <v>256</v>
      </c>
      <c r="B349">
        <v>2.14</v>
      </c>
      <c r="C349">
        <v>0.15</v>
      </c>
      <c r="D349">
        <v>-0.04</v>
      </c>
      <c r="E349">
        <v>0.50800000000000001</v>
      </c>
      <c r="F349" s="25">
        <v>0</v>
      </c>
      <c r="G349">
        <v>8.5000000000000006E-2</v>
      </c>
      <c r="H349">
        <v>-0.14000000000000001</v>
      </c>
      <c r="I349">
        <v>-3.64</v>
      </c>
      <c r="J349">
        <v>-0.03</v>
      </c>
      <c r="K349">
        <v>-33.520000000000003</v>
      </c>
      <c r="L349">
        <v>-33.96</v>
      </c>
      <c r="M349" s="25">
        <v>-0.13950000000000001</v>
      </c>
      <c r="N349" s="25">
        <v>3.2847</v>
      </c>
      <c r="O349">
        <v>0.45</v>
      </c>
      <c r="P349" s="25">
        <v>-2.5100000000000001E-2</v>
      </c>
      <c r="Q349" s="25">
        <v>-0.28420000000000001</v>
      </c>
      <c r="R349" s="26">
        <v>78221.399999999994</v>
      </c>
      <c r="S349" s="26">
        <v>-972057000</v>
      </c>
      <c r="T349">
        <v>-0.39</v>
      </c>
      <c r="U349" s="25">
        <v>2.1999999999999999E-2</v>
      </c>
    </row>
    <row r="350" spans="1:21" x14ac:dyDescent="0.25">
      <c r="A350" t="s">
        <v>446</v>
      </c>
      <c r="B350">
        <v>66</v>
      </c>
      <c r="C350">
        <v>6.84</v>
      </c>
      <c r="D350">
        <v>1.6</v>
      </c>
      <c r="E350">
        <v>1.0329999999999999</v>
      </c>
      <c r="F350" s="25">
        <v>3.4000000000000002E-2</v>
      </c>
      <c r="G350">
        <v>0.96199999999999997</v>
      </c>
      <c r="H350">
        <v>2.73</v>
      </c>
      <c r="I350">
        <v>4.5599999999999996</v>
      </c>
      <c r="J350">
        <v>5.74</v>
      </c>
      <c r="K350">
        <v>4.1100000000000003</v>
      </c>
      <c r="L350">
        <v>3.82</v>
      </c>
      <c r="M350" s="25">
        <v>0.2268</v>
      </c>
      <c r="N350" s="25">
        <v>0.15110000000000001</v>
      </c>
      <c r="O350">
        <v>2.65</v>
      </c>
      <c r="P350" s="25">
        <v>0.2596</v>
      </c>
      <c r="Q350" s="25">
        <v>0.2336</v>
      </c>
      <c r="R350" s="26">
        <v>99204.4</v>
      </c>
      <c r="S350" s="26">
        <v>250923000</v>
      </c>
      <c r="T350">
        <v>0.06</v>
      </c>
      <c r="U350" s="25">
        <v>0.1169</v>
      </c>
    </row>
    <row r="351" spans="1:21" x14ac:dyDescent="0.25">
      <c r="A351" t="s">
        <v>447</v>
      </c>
      <c r="B351">
        <v>29.8</v>
      </c>
      <c r="C351">
        <v>8.07</v>
      </c>
      <c r="D351">
        <v>1.24</v>
      </c>
      <c r="E351">
        <v>0</v>
      </c>
      <c r="F351" s="25">
        <v>5.3999999999999999E-2</v>
      </c>
      <c r="G351">
        <v>0</v>
      </c>
      <c r="H351">
        <v>0</v>
      </c>
      <c r="I351">
        <v>0</v>
      </c>
      <c r="J351">
        <v>0</v>
      </c>
      <c r="K351">
        <v>0</v>
      </c>
      <c r="L351">
        <v>0</v>
      </c>
      <c r="M351" s="25">
        <v>0</v>
      </c>
      <c r="N351" s="25">
        <v>0</v>
      </c>
      <c r="O351">
        <v>0</v>
      </c>
      <c r="P351" s="25">
        <v>0</v>
      </c>
      <c r="Q351" s="25">
        <v>0.15379999999999999</v>
      </c>
      <c r="R351" s="26">
        <v>76560900</v>
      </c>
      <c r="S351" s="26">
        <v>90014800000</v>
      </c>
      <c r="T351">
        <v>0</v>
      </c>
      <c r="U351" s="25">
        <v>-8.0100000000000005E-2</v>
      </c>
    </row>
    <row r="352" spans="1:21" x14ac:dyDescent="0.25">
      <c r="A352" t="s">
        <v>30</v>
      </c>
      <c r="B352">
        <v>14.13</v>
      </c>
      <c r="C352">
        <v>7.65</v>
      </c>
      <c r="D352">
        <v>1.18</v>
      </c>
      <c r="E352">
        <v>0</v>
      </c>
      <c r="F352" s="25">
        <v>5.4199999999999998E-2</v>
      </c>
      <c r="G352">
        <v>0</v>
      </c>
      <c r="H352">
        <v>0</v>
      </c>
      <c r="I352">
        <v>0</v>
      </c>
      <c r="J352">
        <v>0</v>
      </c>
      <c r="K352">
        <v>0</v>
      </c>
      <c r="L352">
        <v>0</v>
      </c>
      <c r="M352" s="25">
        <v>0</v>
      </c>
      <c r="N352" s="25">
        <v>0</v>
      </c>
      <c r="O352">
        <v>0</v>
      </c>
      <c r="P352" s="25">
        <v>0</v>
      </c>
      <c r="Q352" s="25">
        <v>0.15379999999999999</v>
      </c>
      <c r="R352" s="26">
        <v>1337050</v>
      </c>
      <c r="S352" s="26">
        <v>90014800000</v>
      </c>
      <c r="T352">
        <v>0</v>
      </c>
      <c r="U352" s="25">
        <v>-8.0100000000000005E-2</v>
      </c>
    </row>
    <row r="353" spans="1:21" x14ac:dyDescent="0.25">
      <c r="A353" t="s">
        <v>12</v>
      </c>
      <c r="B353">
        <v>15.5</v>
      </c>
      <c r="C353">
        <v>8.39</v>
      </c>
      <c r="D353">
        <v>1.29</v>
      </c>
      <c r="E353">
        <v>0</v>
      </c>
      <c r="F353" s="25">
        <v>5.4399999999999997E-2</v>
      </c>
      <c r="G353">
        <v>0</v>
      </c>
      <c r="H353">
        <v>0</v>
      </c>
      <c r="I353">
        <v>0</v>
      </c>
      <c r="J353">
        <v>0</v>
      </c>
      <c r="K353">
        <v>0</v>
      </c>
      <c r="L353">
        <v>0</v>
      </c>
      <c r="M353" s="25">
        <v>0</v>
      </c>
      <c r="N353" s="25">
        <v>0</v>
      </c>
      <c r="O353">
        <v>0</v>
      </c>
      <c r="P353" s="25">
        <v>0</v>
      </c>
      <c r="Q353" s="25">
        <v>0.15379999999999999</v>
      </c>
      <c r="R353" s="26">
        <v>1534970</v>
      </c>
      <c r="S353" s="26">
        <v>90014800000</v>
      </c>
      <c r="T353">
        <v>0</v>
      </c>
      <c r="U353" s="25">
        <v>-8.0100000000000005E-2</v>
      </c>
    </row>
    <row r="354" spans="1:21" x14ac:dyDescent="0.25">
      <c r="A354" t="s">
        <v>448</v>
      </c>
      <c r="B354">
        <v>35.619999999999997</v>
      </c>
      <c r="C354">
        <v>4.53</v>
      </c>
      <c r="D354">
        <v>0.89</v>
      </c>
      <c r="E354">
        <v>1.548</v>
      </c>
      <c r="F354" s="25">
        <v>4.3499999999999997E-2</v>
      </c>
      <c r="G354">
        <v>0.433</v>
      </c>
      <c r="H354">
        <v>9.9499999999999993</v>
      </c>
      <c r="I354">
        <v>5.76</v>
      </c>
      <c r="J354">
        <v>-1.1399999999999999</v>
      </c>
      <c r="K354">
        <v>8.3000000000000007</v>
      </c>
      <c r="L354">
        <v>6.34</v>
      </c>
      <c r="M354" s="25">
        <v>0.26879999999999998</v>
      </c>
      <c r="N354" s="25">
        <v>0.34129999999999999</v>
      </c>
      <c r="O354">
        <v>1.47</v>
      </c>
      <c r="P354" s="25">
        <v>8.2299999999999998E-2</v>
      </c>
      <c r="Q354" s="25">
        <v>0.19719999999999999</v>
      </c>
      <c r="R354" s="26">
        <v>36484500</v>
      </c>
      <c r="S354" s="26">
        <v>12036700000</v>
      </c>
      <c r="T354">
        <v>0.55000000000000004</v>
      </c>
      <c r="U354" s="25">
        <v>9.9000000000000005E-2</v>
      </c>
    </row>
    <row r="355" spans="1:21" x14ac:dyDescent="0.25">
      <c r="A355" t="s">
        <v>35</v>
      </c>
      <c r="B355">
        <v>7.19</v>
      </c>
      <c r="C355">
        <v>4.58</v>
      </c>
      <c r="D355">
        <v>0.9</v>
      </c>
      <c r="E355">
        <v>1.5620000000000001</v>
      </c>
      <c r="F355" s="25">
        <v>3.9899999999999998E-2</v>
      </c>
      <c r="G355">
        <v>0.437</v>
      </c>
      <c r="H355">
        <v>10.039999999999999</v>
      </c>
      <c r="I355">
        <v>5.81</v>
      </c>
      <c r="J355">
        <v>-1.1499999999999999</v>
      </c>
      <c r="K355">
        <v>8.36</v>
      </c>
      <c r="L355">
        <v>6.38</v>
      </c>
      <c r="M355" s="25">
        <v>0.26879999999999998</v>
      </c>
      <c r="N355" s="25">
        <v>0.34129999999999999</v>
      </c>
      <c r="O355">
        <v>1.47</v>
      </c>
      <c r="P355" s="25">
        <v>8.2299999999999998E-2</v>
      </c>
      <c r="Q355" s="25">
        <v>0.19719999999999999</v>
      </c>
      <c r="R355" s="26">
        <v>1178270</v>
      </c>
      <c r="S355" s="26">
        <v>12036700000</v>
      </c>
      <c r="T355">
        <v>0.55000000000000004</v>
      </c>
      <c r="U355" s="25">
        <v>9.9000000000000005E-2</v>
      </c>
    </row>
    <row r="356" spans="1:21" x14ac:dyDescent="0.25">
      <c r="A356" t="s">
        <v>86</v>
      </c>
      <c r="B356">
        <v>7.06</v>
      </c>
      <c r="C356">
        <v>4.49</v>
      </c>
      <c r="D356">
        <v>0.89</v>
      </c>
      <c r="E356">
        <v>1.534</v>
      </c>
      <c r="F356" s="25">
        <v>4.4699999999999997E-2</v>
      </c>
      <c r="G356">
        <v>0.42899999999999999</v>
      </c>
      <c r="H356">
        <v>9.86</v>
      </c>
      <c r="I356">
        <v>5.71</v>
      </c>
      <c r="J356">
        <v>-1.1299999999999999</v>
      </c>
      <c r="K356">
        <v>8.25</v>
      </c>
      <c r="L356">
        <v>6.3</v>
      </c>
      <c r="M356" s="25">
        <v>0.26879999999999998</v>
      </c>
      <c r="N356" s="25">
        <v>0.34129999999999999</v>
      </c>
      <c r="O356">
        <v>1.47</v>
      </c>
      <c r="P356" s="25">
        <v>8.2299999999999998E-2</v>
      </c>
      <c r="Q356" s="25">
        <v>0.19719999999999999</v>
      </c>
      <c r="R356" s="26">
        <v>8059890</v>
      </c>
      <c r="S356" s="26">
        <v>12036700000</v>
      </c>
      <c r="T356">
        <v>0.55000000000000004</v>
      </c>
      <c r="U356" s="25">
        <v>9.9000000000000005E-2</v>
      </c>
    </row>
    <row r="357" spans="1:21" x14ac:dyDescent="0.25">
      <c r="A357" t="s">
        <v>200</v>
      </c>
      <c r="B357">
        <v>11.8</v>
      </c>
      <c r="C357">
        <v>5.09</v>
      </c>
      <c r="D357">
        <v>0.99</v>
      </c>
      <c r="E357">
        <v>0.39900000000000002</v>
      </c>
      <c r="F357" s="25">
        <v>4.65E-2</v>
      </c>
      <c r="G357">
        <v>0.34100000000000003</v>
      </c>
      <c r="H357">
        <v>2.0299999999999998</v>
      </c>
      <c r="I357">
        <v>4.88</v>
      </c>
      <c r="J357">
        <v>-2.35</v>
      </c>
      <c r="K357">
        <v>7.99</v>
      </c>
      <c r="L357">
        <v>4.63</v>
      </c>
      <c r="M357" s="25">
        <v>8.1799999999999998E-2</v>
      </c>
      <c r="N357" s="25">
        <v>7.8399999999999997E-2</v>
      </c>
      <c r="O357">
        <v>1.49</v>
      </c>
      <c r="P357" s="25">
        <v>8.8300000000000003E-2</v>
      </c>
      <c r="Q357" s="25">
        <v>0.1946</v>
      </c>
      <c r="R357" s="26">
        <v>16037900</v>
      </c>
      <c r="S357" s="26">
        <v>2907110000</v>
      </c>
      <c r="T357">
        <v>0.91</v>
      </c>
      <c r="U357" s="25">
        <v>0.24249999999999999</v>
      </c>
    </row>
    <row r="358" spans="1:21" x14ac:dyDescent="0.25">
      <c r="A358" t="s">
        <v>104</v>
      </c>
      <c r="B358">
        <v>115.11</v>
      </c>
      <c r="C358">
        <v>7.68</v>
      </c>
      <c r="D358">
        <v>2.0499999999999998</v>
      </c>
      <c r="E358">
        <v>2.0699999999999998</v>
      </c>
      <c r="F358" s="25">
        <v>3.2399999999999998E-2</v>
      </c>
      <c r="G358">
        <v>0.91800000000000004</v>
      </c>
      <c r="H358">
        <v>72.209999999999994</v>
      </c>
      <c r="I358">
        <v>4.6500000000000004</v>
      </c>
      <c r="J358">
        <v>-2.33</v>
      </c>
      <c r="K358">
        <v>5.8</v>
      </c>
      <c r="L358">
        <v>5.0599999999999996</v>
      </c>
      <c r="M358" s="25">
        <v>0.44519999999999998</v>
      </c>
      <c r="N358" s="25">
        <v>0.26939999999999997</v>
      </c>
      <c r="O358">
        <v>1.0900000000000001</v>
      </c>
      <c r="P358" s="25">
        <v>0.2213</v>
      </c>
      <c r="Q358" s="25">
        <v>0.2666</v>
      </c>
      <c r="R358" s="26">
        <v>400134000</v>
      </c>
      <c r="S358" s="26">
        <v>38397900000</v>
      </c>
      <c r="T358">
        <v>0.72</v>
      </c>
      <c r="U358" s="25">
        <v>0.1903</v>
      </c>
    </row>
    <row r="359" spans="1:21" x14ac:dyDescent="0.25">
      <c r="A359" t="s">
        <v>161</v>
      </c>
      <c r="B359">
        <v>16.989999999999998</v>
      </c>
      <c r="C359">
        <v>-34.049999999999997</v>
      </c>
      <c r="D359">
        <v>0.64</v>
      </c>
      <c r="E359">
        <v>2.1360000000000001</v>
      </c>
      <c r="F359" s="25">
        <v>0.1027</v>
      </c>
      <c r="G359">
        <v>0.35599999999999998</v>
      </c>
      <c r="H359">
        <v>1.89</v>
      </c>
      <c r="I359">
        <v>8.24</v>
      </c>
      <c r="J359">
        <v>-1.89</v>
      </c>
      <c r="K359">
        <v>16.54</v>
      </c>
      <c r="L359">
        <v>11.35</v>
      </c>
      <c r="M359" s="25">
        <v>0.25919999999999999</v>
      </c>
      <c r="N359" s="25">
        <v>-6.1699999999999998E-2</v>
      </c>
      <c r="O359">
        <v>3.95</v>
      </c>
      <c r="P359" s="25">
        <v>4.6100000000000002E-2</v>
      </c>
      <c r="Q359" s="25">
        <v>-1.8800000000000001E-2</v>
      </c>
      <c r="R359" s="26">
        <v>487818</v>
      </c>
      <c r="S359" s="26">
        <v>1533970000</v>
      </c>
      <c r="T359">
        <v>0.76</v>
      </c>
      <c r="U359" s="25">
        <v>0.23250000000000001</v>
      </c>
    </row>
    <row r="360" spans="1:21" x14ac:dyDescent="0.25">
      <c r="A360" t="s">
        <v>198</v>
      </c>
      <c r="B360">
        <v>10.38</v>
      </c>
      <c r="C360">
        <v>22.27</v>
      </c>
      <c r="D360">
        <v>1.07</v>
      </c>
      <c r="E360">
        <v>0.64500000000000002</v>
      </c>
      <c r="F360" s="25">
        <v>1.4800000000000001E-2</v>
      </c>
      <c r="G360">
        <v>0.39200000000000002</v>
      </c>
      <c r="H360">
        <v>6.79</v>
      </c>
      <c r="I360">
        <v>3.65</v>
      </c>
      <c r="J360">
        <v>-1.1000000000000001</v>
      </c>
      <c r="K360">
        <v>5.25</v>
      </c>
      <c r="L360">
        <v>3.27</v>
      </c>
      <c r="M360" s="25">
        <v>0.17699999999999999</v>
      </c>
      <c r="N360" s="25">
        <v>2.9000000000000001E-2</v>
      </c>
      <c r="O360">
        <v>1.26</v>
      </c>
      <c r="P360" s="25">
        <v>0.12</v>
      </c>
      <c r="Q360" s="25">
        <v>4.7899999999999998E-2</v>
      </c>
      <c r="R360" s="26">
        <v>8919100</v>
      </c>
      <c r="S360" s="26">
        <v>1251870000</v>
      </c>
      <c r="T360">
        <v>0.72</v>
      </c>
      <c r="U360" s="25">
        <v>0.1318</v>
      </c>
    </row>
    <row r="361" spans="1:21" x14ac:dyDescent="0.25">
      <c r="A361" t="s">
        <v>242</v>
      </c>
      <c r="B361">
        <v>1.57</v>
      </c>
      <c r="C361">
        <v>-7.0000000000000007E-2</v>
      </c>
      <c r="D361">
        <v>-0.1</v>
      </c>
      <c r="E361">
        <v>0.10299999999999999</v>
      </c>
      <c r="F361" s="25">
        <v>0</v>
      </c>
      <c r="G361">
        <v>6.4000000000000001E-2</v>
      </c>
      <c r="H361">
        <v>-0.13</v>
      </c>
      <c r="I361">
        <v>-0.12</v>
      </c>
      <c r="J361">
        <v>-0.04</v>
      </c>
      <c r="K361">
        <v>-1.63</v>
      </c>
      <c r="L361">
        <v>-2.09</v>
      </c>
      <c r="M361" s="25">
        <v>-0.84799999999999998</v>
      </c>
      <c r="N361" s="25">
        <v>-1.6624000000000001</v>
      </c>
      <c r="O361">
        <v>0.24</v>
      </c>
      <c r="P361" s="25">
        <v>-0.75780000000000003</v>
      </c>
      <c r="Q361" s="25">
        <v>1.4429000000000001</v>
      </c>
      <c r="R361" s="26">
        <v>538938</v>
      </c>
      <c r="S361" s="26">
        <v>-758374000</v>
      </c>
      <c r="T361">
        <v>-1.33</v>
      </c>
      <c r="U361" s="25">
        <v>-0.1162</v>
      </c>
    </row>
    <row r="362" spans="1:21" x14ac:dyDescent="0.25">
      <c r="A362" t="s">
        <v>248</v>
      </c>
      <c r="B362">
        <v>6.5</v>
      </c>
      <c r="C362">
        <v>-0.56000000000000005</v>
      </c>
      <c r="D362">
        <v>0.34</v>
      </c>
      <c r="E362">
        <v>0.28499999999999998</v>
      </c>
      <c r="F362" s="25">
        <v>0</v>
      </c>
      <c r="G362">
        <v>0.11</v>
      </c>
      <c r="H362" s="26">
        <v>0.7</v>
      </c>
      <c r="I362">
        <v>-2</v>
      </c>
      <c r="J362">
        <v>-1.1299999999999999</v>
      </c>
      <c r="K362">
        <v>-0.67</v>
      </c>
      <c r="L362">
        <v>-0.92</v>
      </c>
      <c r="M362" s="25">
        <v>-0.14249999999999999</v>
      </c>
      <c r="N362" s="25">
        <v>-0.49930000000000002</v>
      </c>
      <c r="O362">
        <v>1.37</v>
      </c>
      <c r="P362" s="25">
        <v>-0.1043</v>
      </c>
      <c r="Q362" s="25">
        <v>-0.60680000000000001</v>
      </c>
      <c r="R362" s="26">
        <v>187587</v>
      </c>
      <c r="S362" s="26">
        <v>128542000</v>
      </c>
      <c r="T362">
        <v>0.53</v>
      </c>
      <c r="U362" s="25">
        <v>0.87719999999999998</v>
      </c>
    </row>
    <row r="363" spans="1:21" x14ac:dyDescent="0.25">
      <c r="A363" t="s">
        <v>17</v>
      </c>
      <c r="B363">
        <v>5.31</v>
      </c>
      <c r="C363">
        <v>7.12</v>
      </c>
      <c r="D363">
        <v>1.29</v>
      </c>
      <c r="E363">
        <v>0.95599999999999996</v>
      </c>
      <c r="F363" s="25">
        <v>7.8200000000000006E-2</v>
      </c>
      <c r="G363">
        <v>0.67800000000000005</v>
      </c>
      <c r="H363">
        <v>1.55</v>
      </c>
      <c r="I363">
        <v>9.81</v>
      </c>
      <c r="J363">
        <v>4.0199999999999996</v>
      </c>
      <c r="K363">
        <v>9.57</v>
      </c>
      <c r="L363">
        <v>7.03</v>
      </c>
      <c r="M363" s="25">
        <v>9.7500000000000003E-2</v>
      </c>
      <c r="N363" s="25">
        <v>0.13420000000000001</v>
      </c>
      <c r="O363">
        <v>3.1</v>
      </c>
      <c r="P363" s="25">
        <v>0.111</v>
      </c>
      <c r="Q363" s="25">
        <v>0.18149999999999999</v>
      </c>
      <c r="R363" s="26">
        <v>2573410</v>
      </c>
      <c r="S363" s="26">
        <v>1468260000</v>
      </c>
      <c r="T363">
        <v>0.56999999999999995</v>
      </c>
      <c r="U363" s="25">
        <v>0.1152</v>
      </c>
    </row>
    <row r="364" spans="1:21" x14ac:dyDescent="0.25">
      <c r="A364" t="s">
        <v>215</v>
      </c>
      <c r="B364">
        <v>5.52</v>
      </c>
      <c r="C364">
        <v>-20.420000000000002</v>
      </c>
      <c r="D364">
        <v>1.71</v>
      </c>
      <c r="E364">
        <v>0.114</v>
      </c>
      <c r="F364" s="25">
        <v>1.2699999999999999E-2</v>
      </c>
      <c r="G364">
        <v>5.8000000000000003E-2</v>
      </c>
      <c r="H364">
        <v>0.55000000000000004</v>
      </c>
      <c r="I364">
        <v>0.67</v>
      </c>
      <c r="J364">
        <v>-0.1</v>
      </c>
      <c r="K364">
        <v>6.98</v>
      </c>
      <c r="L364">
        <v>4.46</v>
      </c>
      <c r="M364" s="25">
        <v>0.1699</v>
      </c>
      <c r="N364" s="25">
        <v>4.0000000000000002E-4</v>
      </c>
      <c r="O364">
        <v>1.45</v>
      </c>
      <c r="P364" s="25">
        <v>0.1137</v>
      </c>
      <c r="Q364" s="25">
        <v>-8.3599999999999994E-2</v>
      </c>
      <c r="R364" s="26">
        <v>27296300</v>
      </c>
      <c r="S364" s="26">
        <v>2824120000</v>
      </c>
      <c r="T364">
        <v>20.98</v>
      </c>
      <c r="U364" s="25">
        <v>0.43680000000000002</v>
      </c>
    </row>
    <row r="365" spans="1:21" x14ac:dyDescent="0.25">
      <c r="A365" t="s">
        <v>10</v>
      </c>
      <c r="B365">
        <v>18.489999999999998</v>
      </c>
      <c r="C365">
        <v>10.97</v>
      </c>
      <c r="D365">
        <v>1.67</v>
      </c>
      <c r="E365">
        <v>0.94799999999999995</v>
      </c>
      <c r="F365" s="25">
        <v>2.9499999999999998E-2</v>
      </c>
      <c r="G365">
        <v>0.46899999999999997</v>
      </c>
      <c r="H365">
        <v>3.49</v>
      </c>
      <c r="I365">
        <v>4.33</v>
      </c>
      <c r="J365">
        <v>-1.76</v>
      </c>
      <c r="K365">
        <v>7.01</v>
      </c>
      <c r="L365">
        <v>6</v>
      </c>
      <c r="M365" s="25">
        <v>0.21879999999999999</v>
      </c>
      <c r="N365" s="25">
        <v>8.8300000000000003E-2</v>
      </c>
      <c r="O365">
        <v>1.44</v>
      </c>
      <c r="P365" s="25">
        <v>0.1231</v>
      </c>
      <c r="Q365" s="25">
        <v>0.15210000000000001</v>
      </c>
      <c r="R365" s="26">
        <v>45447800</v>
      </c>
      <c r="S365" s="26">
        <v>4911400000</v>
      </c>
      <c r="T365">
        <v>1.29</v>
      </c>
      <c r="U365" s="25">
        <v>0.13589999999999999</v>
      </c>
    </row>
    <row r="366" spans="1:21" x14ac:dyDescent="0.25">
      <c r="A366" t="s">
        <v>50</v>
      </c>
      <c r="B366">
        <v>24.17</v>
      </c>
      <c r="C366">
        <v>31.13</v>
      </c>
      <c r="D366">
        <v>2.61</v>
      </c>
      <c r="E366">
        <v>2.4060000000000001</v>
      </c>
      <c r="F366" s="25">
        <v>2.69E-2</v>
      </c>
      <c r="G366">
        <v>0.79100000000000004</v>
      </c>
      <c r="H366">
        <v>9.9700000000000006</v>
      </c>
      <c r="I366">
        <v>10.42</v>
      </c>
      <c r="J366">
        <v>-1.69</v>
      </c>
      <c r="K366">
        <v>12.59</v>
      </c>
      <c r="L366">
        <v>6.05</v>
      </c>
      <c r="M366" s="25">
        <v>0.23089999999999999</v>
      </c>
      <c r="N366" s="25">
        <v>7.7899999999999997E-2</v>
      </c>
      <c r="O366">
        <v>1.53</v>
      </c>
      <c r="P366" s="25">
        <v>9.3399999999999997E-2</v>
      </c>
      <c r="Q366" s="25">
        <v>8.3900000000000002E-2</v>
      </c>
      <c r="R366" s="26">
        <v>186431000</v>
      </c>
      <c r="S366" s="26">
        <v>5527220000</v>
      </c>
      <c r="T366">
        <v>1.08</v>
      </c>
      <c r="U366" s="25">
        <v>0.54820000000000002</v>
      </c>
    </row>
    <row r="367" spans="1:21" x14ac:dyDescent="0.25">
      <c r="A367" t="s">
        <v>202</v>
      </c>
      <c r="B367">
        <v>20.18</v>
      </c>
      <c r="C367">
        <v>6.22</v>
      </c>
      <c r="D367">
        <v>1.03</v>
      </c>
      <c r="E367">
        <v>0.85499999999999998</v>
      </c>
      <c r="F367" s="25">
        <v>6.8699999999999997E-2</v>
      </c>
      <c r="G367">
        <v>0.30099999999999999</v>
      </c>
      <c r="H367">
        <v>1.58</v>
      </c>
      <c r="I367">
        <v>5.75</v>
      </c>
      <c r="J367">
        <v>-0.82</v>
      </c>
      <c r="K367">
        <v>12.68</v>
      </c>
      <c r="L367">
        <v>3.91</v>
      </c>
      <c r="M367" s="25">
        <v>0.14860000000000001</v>
      </c>
      <c r="N367" s="25">
        <v>0.13750000000000001</v>
      </c>
      <c r="O367">
        <v>2.27</v>
      </c>
      <c r="P367" s="25">
        <v>6.2799999999999995E-2</v>
      </c>
      <c r="Q367" s="25">
        <v>0.1656</v>
      </c>
      <c r="R367" s="26">
        <v>30641300</v>
      </c>
      <c r="S367" s="26">
        <v>6516220000</v>
      </c>
      <c r="T367">
        <v>1.74</v>
      </c>
      <c r="U367" s="25">
        <v>0.1454</v>
      </c>
    </row>
    <row r="368" spans="1:21" x14ac:dyDescent="0.25">
      <c r="A368" t="s">
        <v>175</v>
      </c>
      <c r="B368">
        <v>4.34</v>
      </c>
      <c r="C368">
        <v>-0.81</v>
      </c>
      <c r="D368">
        <v>-0.02</v>
      </c>
      <c r="E368">
        <v>3.5000000000000003E-2</v>
      </c>
      <c r="F368" s="25">
        <v>0</v>
      </c>
      <c r="G368">
        <v>5.8000000000000003E-2</v>
      </c>
      <c r="H368">
        <v>-0.5</v>
      </c>
      <c r="I368">
        <v>1.51</v>
      </c>
      <c r="J368">
        <v>-0.01</v>
      </c>
      <c r="K368">
        <v>11.01</v>
      </c>
      <c r="L368">
        <v>6.06</v>
      </c>
      <c r="M368" s="25">
        <v>2.29E-2</v>
      </c>
      <c r="N368" s="25">
        <v>-4.1700000000000001E-2</v>
      </c>
      <c r="O368">
        <v>0.84</v>
      </c>
      <c r="P368" s="25">
        <v>4.4299999999999999E-2</v>
      </c>
      <c r="Q368" s="25">
        <v>2.0500000000000001E-2</v>
      </c>
      <c r="R368" s="26">
        <v>23371.9</v>
      </c>
      <c r="S368" s="26">
        <v>-2025590000</v>
      </c>
      <c r="T368">
        <v>-0.11</v>
      </c>
      <c r="U368" s="25">
        <v>0.1275</v>
      </c>
    </row>
    <row r="369" spans="1:21" x14ac:dyDescent="0.25">
      <c r="A369" t="s">
        <v>105</v>
      </c>
      <c r="B369">
        <v>11.42</v>
      </c>
      <c r="C369">
        <v>15.45</v>
      </c>
      <c r="D369">
        <v>1.1499999999999999</v>
      </c>
      <c r="E369">
        <v>0.81200000000000006</v>
      </c>
      <c r="F369" s="25">
        <v>2.5999999999999999E-2</v>
      </c>
      <c r="G369">
        <v>0.44500000000000001</v>
      </c>
      <c r="H369">
        <v>0.86</v>
      </c>
      <c r="I369">
        <v>10.16</v>
      </c>
      <c r="J369">
        <v>1.53</v>
      </c>
      <c r="K369">
        <v>9.8800000000000008</v>
      </c>
      <c r="L369">
        <v>8.07</v>
      </c>
      <c r="M369" s="25">
        <v>7.9899999999999999E-2</v>
      </c>
      <c r="N369" s="25">
        <v>8.8900000000000007E-2</v>
      </c>
      <c r="O369">
        <v>3.46</v>
      </c>
      <c r="P369" s="25">
        <v>7.3999999999999996E-2</v>
      </c>
      <c r="Q369" s="25">
        <v>7.4200000000000002E-2</v>
      </c>
      <c r="R369" s="26">
        <v>8922470</v>
      </c>
      <c r="S369" s="26">
        <v>1347510000</v>
      </c>
      <c r="T369">
        <v>0.63</v>
      </c>
      <c r="U369" s="25">
        <v>0.33839999999999998</v>
      </c>
    </row>
    <row r="370" spans="1:21" x14ac:dyDescent="0.25">
      <c r="A370" t="s">
        <v>449</v>
      </c>
      <c r="B370">
        <v>44</v>
      </c>
      <c r="C370" s="26">
        <v>4.54</v>
      </c>
      <c r="D370">
        <v>1.51</v>
      </c>
      <c r="E370">
        <v>0.52400000000000002</v>
      </c>
      <c r="F370" s="25">
        <v>0.14249999999999999</v>
      </c>
      <c r="G370">
        <v>0.92200000000000004</v>
      </c>
      <c r="H370">
        <v>3.18</v>
      </c>
      <c r="I370">
        <v>3.34</v>
      </c>
      <c r="J370">
        <v>5.4</v>
      </c>
      <c r="K370">
        <v>2.38</v>
      </c>
      <c r="L370">
        <v>2.04</v>
      </c>
      <c r="M370" s="25">
        <v>0.15659999999999999</v>
      </c>
      <c r="N370" s="25">
        <v>0.1162</v>
      </c>
      <c r="O370">
        <v>2.0699999999999998</v>
      </c>
      <c r="P370" s="25">
        <v>0.38729999999999998</v>
      </c>
      <c r="Q370" s="25">
        <v>0.3327</v>
      </c>
      <c r="R370" s="26">
        <v>494.6</v>
      </c>
      <c r="S370" s="26">
        <v>71604000</v>
      </c>
      <c r="T370">
        <v>0</v>
      </c>
      <c r="U370" s="25">
        <v>0.33150000000000002</v>
      </c>
    </row>
    <row r="371" spans="1:21" x14ac:dyDescent="0.25">
      <c r="A371" t="s">
        <v>450</v>
      </c>
      <c r="B371">
        <v>43.02</v>
      </c>
      <c r="C371">
        <v>4.4400000000000004</v>
      </c>
      <c r="D371">
        <v>1.48</v>
      </c>
      <c r="E371">
        <v>0.51200000000000001</v>
      </c>
      <c r="F371" s="25">
        <v>0.14580000000000001</v>
      </c>
      <c r="G371">
        <v>0.90100000000000002</v>
      </c>
      <c r="H371" s="26">
        <v>3.11</v>
      </c>
      <c r="I371">
        <v>3.27</v>
      </c>
      <c r="J371">
        <v>5.28</v>
      </c>
      <c r="K371">
        <v>2.31</v>
      </c>
      <c r="L371">
        <v>1.97</v>
      </c>
      <c r="M371" s="25">
        <v>0.15659999999999999</v>
      </c>
      <c r="N371" s="25">
        <v>0.1162</v>
      </c>
      <c r="O371">
        <v>2.0699999999999998</v>
      </c>
      <c r="P371" s="25">
        <v>0.38729999999999998</v>
      </c>
      <c r="Q371" s="25">
        <v>0.3327</v>
      </c>
      <c r="R371" s="26">
        <v>1331</v>
      </c>
      <c r="S371" s="26">
        <v>71604000</v>
      </c>
      <c r="T371">
        <v>0</v>
      </c>
      <c r="U371" s="25">
        <v>0.33150000000000002</v>
      </c>
    </row>
    <row r="372" spans="1:21" x14ac:dyDescent="0.25">
      <c r="A372" t="s">
        <v>451</v>
      </c>
      <c r="B372">
        <v>11.62</v>
      </c>
      <c r="C372" s="26">
        <v>1180.6400000000001</v>
      </c>
      <c r="D372">
        <v>1.33</v>
      </c>
      <c r="E372">
        <v>1.575</v>
      </c>
      <c r="F372" s="25">
        <v>0</v>
      </c>
      <c r="G372">
        <v>0.35</v>
      </c>
      <c r="H372">
        <v>15.3</v>
      </c>
      <c r="I372">
        <v>6.15</v>
      </c>
      <c r="J372">
        <v>-0.61</v>
      </c>
      <c r="K372">
        <v>15.27</v>
      </c>
      <c r="L372">
        <v>9.11</v>
      </c>
      <c r="M372" s="25">
        <v>0.25619999999999998</v>
      </c>
      <c r="N372" s="25">
        <v>1.4E-3</v>
      </c>
      <c r="O372">
        <v>1.1599999999999999</v>
      </c>
      <c r="P372" s="25">
        <v>6.1699999999999998E-2</v>
      </c>
      <c r="Q372" s="25">
        <v>1.1000000000000001E-3</v>
      </c>
      <c r="R372" s="26">
        <v>93184300</v>
      </c>
      <c r="S372" s="26">
        <v>5443630000</v>
      </c>
      <c r="T372">
        <v>2.2000000000000002</v>
      </c>
      <c r="U372" s="25">
        <v>0.35930000000000001</v>
      </c>
    </row>
    <row r="373" spans="1:21" x14ac:dyDescent="0.25">
      <c r="A373" t="s">
        <v>63</v>
      </c>
      <c r="B373">
        <v>13.71</v>
      </c>
      <c r="C373">
        <v>14.95</v>
      </c>
      <c r="D373">
        <v>19.5</v>
      </c>
      <c r="E373">
        <v>3.7709999999999999</v>
      </c>
      <c r="F373" s="25">
        <v>0.18990000000000001</v>
      </c>
      <c r="G373">
        <v>2.2360000000000002</v>
      </c>
      <c r="H373" s="26">
        <v>2019.39</v>
      </c>
      <c r="I373">
        <v>8.75</v>
      </c>
      <c r="J373">
        <v>-3.09</v>
      </c>
      <c r="K373">
        <v>10.4</v>
      </c>
      <c r="L373">
        <v>8.68</v>
      </c>
      <c r="M373" s="25">
        <v>0.43120000000000003</v>
      </c>
      <c r="N373" s="25">
        <v>0.25230000000000002</v>
      </c>
      <c r="O373">
        <v>1.01</v>
      </c>
      <c r="P373" s="25">
        <v>0.28449999999999998</v>
      </c>
      <c r="Q373" s="25">
        <v>1.3043</v>
      </c>
      <c r="R373" s="26">
        <v>67972300</v>
      </c>
      <c r="S373" s="26">
        <v>607731000</v>
      </c>
      <c r="T373">
        <v>4.32</v>
      </c>
      <c r="U373" s="25">
        <v>0.29670000000000002</v>
      </c>
    </row>
    <row r="374" spans="1:21" x14ac:dyDescent="0.25">
      <c r="A374" t="s">
        <v>91</v>
      </c>
      <c r="B374">
        <v>54.11</v>
      </c>
      <c r="C374">
        <v>-71.739999999999995</v>
      </c>
      <c r="D374">
        <v>1.78</v>
      </c>
      <c r="E374">
        <v>1.3819999999999999</v>
      </c>
      <c r="F374" s="25">
        <v>3.73E-2</v>
      </c>
      <c r="G374">
        <v>0.441</v>
      </c>
      <c r="H374">
        <v>3.21</v>
      </c>
      <c r="I374">
        <v>4.8</v>
      </c>
      <c r="J374">
        <v>-0.83</v>
      </c>
      <c r="K374">
        <v>10.050000000000001</v>
      </c>
      <c r="L374">
        <v>5.96</v>
      </c>
      <c r="M374" s="25">
        <v>0.28760000000000002</v>
      </c>
      <c r="N374" s="25">
        <v>-1.8499999999999999E-2</v>
      </c>
      <c r="O374">
        <v>2.61</v>
      </c>
      <c r="P374" s="25">
        <v>0.1069</v>
      </c>
      <c r="Q374" s="25">
        <v>-2.4799999999999999E-2</v>
      </c>
      <c r="R374" s="26">
        <v>336511000</v>
      </c>
      <c r="S374" s="26">
        <v>38398300000</v>
      </c>
      <c r="T374">
        <v>2.37</v>
      </c>
      <c r="U374" s="25">
        <v>7.8100000000000003E-2</v>
      </c>
    </row>
    <row r="375" spans="1:21" x14ac:dyDescent="0.25">
      <c r="A375" t="s">
        <v>234</v>
      </c>
      <c r="B375">
        <v>5.67</v>
      </c>
      <c r="C375">
        <v>1.55</v>
      </c>
      <c r="D375">
        <v>0.79</v>
      </c>
      <c r="E375">
        <v>0.65100000000000002</v>
      </c>
      <c r="F375" s="25">
        <v>1.2363</v>
      </c>
      <c r="G375">
        <v>0.27300000000000002</v>
      </c>
      <c r="H375">
        <v>0.89</v>
      </c>
      <c r="I375">
        <v>1.84</v>
      </c>
      <c r="J375">
        <v>-7.26</v>
      </c>
      <c r="K375">
        <v>2.69</v>
      </c>
      <c r="L375">
        <v>2.31</v>
      </c>
      <c r="M375" s="25">
        <v>0.3533</v>
      </c>
      <c r="N375" s="25">
        <v>0.50480000000000003</v>
      </c>
      <c r="O375">
        <v>5.43</v>
      </c>
      <c r="P375" s="25">
        <v>0.1726</v>
      </c>
      <c r="Q375" s="25">
        <v>0.51129999999999998</v>
      </c>
      <c r="R375" s="26">
        <v>2819670</v>
      </c>
      <c r="S375" s="26">
        <v>1091940000</v>
      </c>
      <c r="T375">
        <v>0.77</v>
      </c>
      <c r="U375" s="25">
        <v>3.9E-2</v>
      </c>
    </row>
    <row r="376" spans="1:21" x14ac:dyDescent="0.25">
      <c r="A376" t="s">
        <v>452</v>
      </c>
      <c r="B376">
        <v>33.97</v>
      </c>
      <c r="C376">
        <v>6.94</v>
      </c>
      <c r="D376">
        <v>1.6</v>
      </c>
      <c r="E376">
        <v>2.948</v>
      </c>
      <c r="F376" s="25">
        <v>8.0600000000000005E-2</v>
      </c>
      <c r="G376">
        <v>0.55600000000000005</v>
      </c>
      <c r="H376">
        <v>8.15</v>
      </c>
      <c r="I376">
        <v>5.22</v>
      </c>
      <c r="J376">
        <v>-1.1000000000000001</v>
      </c>
      <c r="K376">
        <v>9.43</v>
      </c>
      <c r="L376">
        <v>9.31</v>
      </c>
      <c r="M376" s="25">
        <v>0.56499999999999995</v>
      </c>
      <c r="N376" s="25">
        <v>0.42449999999999999</v>
      </c>
      <c r="O376">
        <v>1.85</v>
      </c>
      <c r="P376" s="25">
        <v>0.1118</v>
      </c>
      <c r="Q376" s="25">
        <v>0.23089999999999999</v>
      </c>
      <c r="R376" s="26">
        <v>64198900</v>
      </c>
      <c r="S376" s="26">
        <v>7297940000</v>
      </c>
      <c r="T376">
        <v>1.41</v>
      </c>
      <c r="U376" s="25">
        <v>1.11E-2</v>
      </c>
    </row>
    <row r="377" spans="1:21" x14ac:dyDescent="0.25">
      <c r="A377" t="s">
        <v>267</v>
      </c>
      <c r="B377">
        <v>11.34</v>
      </c>
      <c r="C377">
        <v>6.96</v>
      </c>
      <c r="D377">
        <v>1.61</v>
      </c>
      <c r="E377">
        <v>2.952</v>
      </c>
      <c r="F377" s="25">
        <v>8.0500000000000002E-2</v>
      </c>
      <c r="G377">
        <v>0.55700000000000005</v>
      </c>
      <c r="H377">
        <v>8.16</v>
      </c>
      <c r="I377">
        <v>5.23</v>
      </c>
      <c r="J377">
        <v>-1.1000000000000001</v>
      </c>
      <c r="K377">
        <v>9.44</v>
      </c>
      <c r="L377">
        <v>9.32</v>
      </c>
      <c r="M377" s="25">
        <v>0.56499999999999995</v>
      </c>
      <c r="N377" s="25">
        <v>0.42449999999999999</v>
      </c>
      <c r="O377">
        <v>1.85</v>
      </c>
      <c r="P377" s="25">
        <v>0.1118</v>
      </c>
      <c r="Q377" s="25">
        <v>0.23089999999999999</v>
      </c>
      <c r="R377" s="26">
        <v>901793</v>
      </c>
      <c r="S377" s="26">
        <v>7297940000</v>
      </c>
      <c r="T377">
        <v>1.41</v>
      </c>
      <c r="U377" s="25">
        <v>1.11E-2</v>
      </c>
    </row>
    <row r="378" spans="1:21" x14ac:dyDescent="0.25">
      <c r="A378" t="s">
        <v>53</v>
      </c>
      <c r="B378">
        <v>11.36</v>
      </c>
      <c r="C378">
        <v>6.97</v>
      </c>
      <c r="D378">
        <v>1.61</v>
      </c>
      <c r="E378">
        <v>2.9580000000000002</v>
      </c>
      <c r="F378" s="25">
        <v>8.0399999999999999E-2</v>
      </c>
      <c r="G378">
        <v>0.55800000000000005</v>
      </c>
      <c r="H378">
        <v>8.18</v>
      </c>
      <c r="I378">
        <v>5.23</v>
      </c>
      <c r="J378">
        <v>-1.1100000000000001</v>
      </c>
      <c r="K378">
        <v>9.4499999999999993</v>
      </c>
      <c r="L378">
        <v>9.33</v>
      </c>
      <c r="M378" s="25">
        <v>0.56499999999999995</v>
      </c>
      <c r="N378" s="25">
        <v>0.42449999999999999</v>
      </c>
      <c r="O378">
        <v>1.85</v>
      </c>
      <c r="P378" s="25">
        <v>0.1118</v>
      </c>
      <c r="Q378" s="25">
        <v>0.23089999999999999</v>
      </c>
      <c r="R378" s="26">
        <v>1917500</v>
      </c>
      <c r="S378" s="26">
        <v>7297940000</v>
      </c>
      <c r="T378">
        <v>1.41</v>
      </c>
      <c r="U378" s="25">
        <v>1.11E-2</v>
      </c>
    </row>
    <row r="379" spans="1:21" x14ac:dyDescent="0.25">
      <c r="A379" t="s">
        <v>199</v>
      </c>
      <c r="B379">
        <v>7.75</v>
      </c>
      <c r="C379">
        <v>14.15</v>
      </c>
      <c r="D379">
        <v>0.85</v>
      </c>
      <c r="E379">
        <v>0.68600000000000005</v>
      </c>
      <c r="F379" s="25">
        <v>2.3800000000000002E-2</v>
      </c>
      <c r="G379">
        <v>0.42499999999999999</v>
      </c>
      <c r="H379">
        <v>1.79</v>
      </c>
      <c r="I379">
        <v>10.37</v>
      </c>
      <c r="J379">
        <v>5.56</v>
      </c>
      <c r="K379">
        <v>15.52</v>
      </c>
      <c r="L379">
        <v>10.77</v>
      </c>
      <c r="M379" s="25">
        <v>6.6199999999999995E-2</v>
      </c>
      <c r="N379" s="25">
        <v>4.8500000000000001E-2</v>
      </c>
      <c r="O379">
        <v>1.7</v>
      </c>
      <c r="P379" s="25">
        <v>4.7100000000000003E-2</v>
      </c>
      <c r="Q379" s="25">
        <v>6.0100000000000001E-2</v>
      </c>
      <c r="R379" s="26">
        <v>115808</v>
      </c>
      <c r="S379" s="26">
        <v>1268180000</v>
      </c>
      <c r="T379">
        <v>0.59</v>
      </c>
      <c r="U379" s="25">
        <v>-9.3700000000000006E-2</v>
      </c>
    </row>
    <row r="380" spans="1:21" x14ac:dyDescent="0.25">
      <c r="A380" t="s">
        <v>174</v>
      </c>
      <c r="B380">
        <v>7.18</v>
      </c>
      <c r="C380">
        <v>13.11</v>
      </c>
      <c r="D380">
        <v>0.79</v>
      </c>
      <c r="E380">
        <v>0.63600000000000001</v>
      </c>
      <c r="F380" s="25">
        <v>2.5700000000000001E-2</v>
      </c>
      <c r="G380">
        <v>0.39400000000000002</v>
      </c>
      <c r="H380">
        <v>1.66</v>
      </c>
      <c r="I380">
        <v>9.61</v>
      </c>
      <c r="J380">
        <v>5.15</v>
      </c>
      <c r="K380">
        <v>14.76</v>
      </c>
      <c r="L380">
        <v>10.24</v>
      </c>
      <c r="M380" s="25">
        <v>6.6199999999999995E-2</v>
      </c>
      <c r="N380" s="25">
        <v>4.8500000000000001E-2</v>
      </c>
      <c r="O380">
        <v>1.7</v>
      </c>
      <c r="P380" s="25">
        <v>4.7100000000000003E-2</v>
      </c>
      <c r="Q380" s="25">
        <v>6.0100000000000001E-2</v>
      </c>
      <c r="R380" s="26">
        <v>2863690</v>
      </c>
      <c r="S380" s="26">
        <v>1268180000</v>
      </c>
      <c r="T380">
        <v>0.59</v>
      </c>
      <c r="U380" s="25">
        <v>-9.3700000000000006E-2</v>
      </c>
    </row>
    <row r="381" spans="1:21" x14ac:dyDescent="0.25">
      <c r="A381" t="s">
        <v>257</v>
      </c>
      <c r="B381">
        <v>1.18</v>
      </c>
      <c r="C381">
        <v>-0.64</v>
      </c>
      <c r="D381">
        <v>0.23</v>
      </c>
      <c r="E381">
        <v>0.20200000000000001</v>
      </c>
      <c r="F381" s="25">
        <v>0</v>
      </c>
      <c r="G381">
        <v>6.9000000000000006E-2</v>
      </c>
      <c r="H381">
        <v>2.69</v>
      </c>
      <c r="I381">
        <v>-0.78</v>
      </c>
      <c r="J381">
        <v>-0.21</v>
      </c>
      <c r="K381">
        <v>-4.78</v>
      </c>
      <c r="L381">
        <v>-5.13</v>
      </c>
      <c r="M381" s="25">
        <v>-0.26050000000000001</v>
      </c>
      <c r="N381" s="25">
        <v>-0.32219999999999999</v>
      </c>
      <c r="O381">
        <v>1.08</v>
      </c>
      <c r="P381" s="25">
        <v>-0.10299999999999999</v>
      </c>
      <c r="Q381" s="25">
        <v>-0.3579</v>
      </c>
      <c r="R381" s="26">
        <v>109280</v>
      </c>
      <c r="S381" s="26">
        <v>378640000</v>
      </c>
      <c r="T381">
        <v>1.57</v>
      </c>
      <c r="U381" s="25">
        <v>0.31459999999999999</v>
      </c>
    </row>
    <row r="382" spans="1:21" x14ac:dyDescent="0.25">
      <c r="A382" t="s">
        <v>201</v>
      </c>
      <c r="B382">
        <v>6.87</v>
      </c>
      <c r="C382">
        <v>6.7</v>
      </c>
      <c r="D382">
        <v>1.04</v>
      </c>
      <c r="E382">
        <v>1.016</v>
      </c>
      <c r="F382" s="25">
        <v>3.5999999999999997E-2</v>
      </c>
      <c r="G382">
        <v>0.62</v>
      </c>
      <c r="H382">
        <v>1.36</v>
      </c>
      <c r="I382">
        <v>5.48</v>
      </c>
      <c r="J382">
        <v>2.37</v>
      </c>
      <c r="K382">
        <v>5.64</v>
      </c>
      <c r="L382">
        <v>6.51</v>
      </c>
      <c r="M382" s="25">
        <v>0.18540000000000001</v>
      </c>
      <c r="N382" s="25">
        <v>0.1517</v>
      </c>
      <c r="O382">
        <v>3.2</v>
      </c>
      <c r="P382" s="25">
        <v>0.1444</v>
      </c>
      <c r="Q382" s="25">
        <v>0.15529999999999999</v>
      </c>
      <c r="R382" s="26">
        <v>759562</v>
      </c>
      <c r="S382" s="26">
        <v>408423000</v>
      </c>
      <c r="T382">
        <v>0.25</v>
      </c>
      <c r="U382" s="25">
        <v>0.1166</v>
      </c>
    </row>
    <row r="383" spans="1:21" x14ac:dyDescent="0.25">
      <c r="A383" t="s">
        <v>453</v>
      </c>
      <c r="B383">
        <v>13</v>
      </c>
      <c r="C383">
        <v>219.32</v>
      </c>
      <c r="D383">
        <v>0.83</v>
      </c>
      <c r="E383">
        <v>2.7029999999999998</v>
      </c>
      <c r="F383" s="25">
        <v>0</v>
      </c>
      <c r="G383">
        <v>0.29599999999999999</v>
      </c>
      <c r="H383">
        <v>0.75</v>
      </c>
      <c r="I383">
        <v>-3.95</v>
      </c>
      <c r="J383">
        <v>-1.68</v>
      </c>
      <c r="K383">
        <v>0.26</v>
      </c>
      <c r="L383">
        <v>2.35</v>
      </c>
      <c r="M383" s="25">
        <v>-0.68459999999999999</v>
      </c>
      <c r="N383" s="25">
        <v>1.23E-2</v>
      </c>
      <c r="O383">
        <v>6.45</v>
      </c>
      <c r="P383" s="25">
        <v>-0.1178</v>
      </c>
      <c r="Q383" s="25">
        <v>3.8E-3</v>
      </c>
      <c r="R383" s="26">
        <v>30569.9</v>
      </c>
      <c r="S383" s="26">
        <v>1467590000</v>
      </c>
      <c r="T383">
        <v>0.01</v>
      </c>
      <c r="U383" s="25">
        <v>0.1429</v>
      </c>
    </row>
    <row r="384" spans="1:21" x14ac:dyDescent="0.25">
      <c r="A384" t="s">
        <v>14</v>
      </c>
      <c r="B384">
        <v>8.64</v>
      </c>
      <c r="C384">
        <v>145.76</v>
      </c>
      <c r="D384">
        <v>0.55000000000000004</v>
      </c>
      <c r="E384">
        <v>1.7969999999999999</v>
      </c>
      <c r="F384" s="25">
        <v>0</v>
      </c>
      <c r="G384">
        <v>0.19700000000000001</v>
      </c>
      <c r="H384">
        <v>0.5</v>
      </c>
      <c r="I384">
        <v>-2.62</v>
      </c>
      <c r="J384">
        <v>-1.1200000000000001</v>
      </c>
      <c r="K384">
        <v>1.58</v>
      </c>
      <c r="L384">
        <v>14.33</v>
      </c>
      <c r="M384" s="25">
        <v>-0.68459999999999999</v>
      </c>
      <c r="N384" s="25">
        <v>1.23E-2</v>
      </c>
      <c r="O384">
        <v>6.45</v>
      </c>
      <c r="P384" s="25">
        <v>-0.1178</v>
      </c>
      <c r="Q384" s="25">
        <v>3.8E-3</v>
      </c>
      <c r="R384" s="26">
        <v>27354</v>
      </c>
      <c r="S384" s="26">
        <v>1467590000</v>
      </c>
      <c r="T384">
        <v>0.01</v>
      </c>
      <c r="U384" s="25">
        <v>0.1429</v>
      </c>
    </row>
    <row r="385" spans="1:21" x14ac:dyDescent="0.25">
      <c r="A385" t="s">
        <v>64</v>
      </c>
      <c r="B385">
        <v>23.1</v>
      </c>
      <c r="C385">
        <v>15.1</v>
      </c>
      <c r="D385">
        <v>2.61</v>
      </c>
      <c r="E385">
        <v>0.83199999999999996</v>
      </c>
      <c r="F385" s="25">
        <v>7.4000000000000003E-3</v>
      </c>
      <c r="G385">
        <v>0.55100000000000005</v>
      </c>
      <c r="H385">
        <v>2.14</v>
      </c>
      <c r="I385">
        <v>6.45</v>
      </c>
      <c r="J385">
        <v>-2.85</v>
      </c>
      <c r="K385">
        <v>7.46</v>
      </c>
      <c r="L385">
        <v>6.44</v>
      </c>
      <c r="M385" s="25">
        <v>0.12889999999999999</v>
      </c>
      <c r="N385" s="25">
        <v>5.0799999999999998E-2</v>
      </c>
      <c r="O385">
        <v>1.77</v>
      </c>
      <c r="P385" s="25">
        <v>0.1028</v>
      </c>
      <c r="Q385" s="25">
        <v>0.17299999999999999</v>
      </c>
      <c r="R385" s="26">
        <v>47455200</v>
      </c>
      <c r="S385" s="26">
        <v>1083720000</v>
      </c>
      <c r="T385">
        <v>0.95</v>
      </c>
      <c r="U385" s="25">
        <v>8.5000000000000006E-2</v>
      </c>
    </row>
    <row r="386" spans="1:21" x14ac:dyDescent="0.25">
      <c r="A386" t="s">
        <v>154</v>
      </c>
      <c r="B386">
        <v>14.98</v>
      </c>
      <c r="C386">
        <v>18.190000000000001</v>
      </c>
      <c r="D386">
        <v>4.74</v>
      </c>
      <c r="E386">
        <v>2.601</v>
      </c>
      <c r="F386" s="25">
        <v>1.49E-2</v>
      </c>
      <c r="G386">
        <v>2.7669999999999999</v>
      </c>
      <c r="H386">
        <v>6.34</v>
      </c>
      <c r="I386">
        <v>13.02</v>
      </c>
      <c r="J386">
        <v>10.119999999999999</v>
      </c>
      <c r="K386">
        <v>13.57</v>
      </c>
      <c r="L386">
        <v>12.37</v>
      </c>
      <c r="M386" s="25">
        <v>0.19980000000000001</v>
      </c>
      <c r="N386" s="25">
        <v>0.14299999999999999</v>
      </c>
      <c r="O386">
        <v>2.72</v>
      </c>
      <c r="P386" s="25">
        <v>0.25069999999999998</v>
      </c>
      <c r="Q386" s="25">
        <v>0.2606</v>
      </c>
      <c r="R386" s="26">
        <v>7698730</v>
      </c>
      <c r="S386" s="26">
        <v>484021000</v>
      </c>
      <c r="T386">
        <v>0.3</v>
      </c>
      <c r="U386" s="25">
        <v>0.31109999999999999</v>
      </c>
    </row>
    <row r="387" spans="1:21" x14ac:dyDescent="0.25">
      <c r="A387" t="s">
        <v>68</v>
      </c>
      <c r="B387">
        <v>36.4</v>
      </c>
      <c r="C387">
        <v>8.6999999999999993</v>
      </c>
      <c r="D387">
        <v>2.4900000000000002</v>
      </c>
      <c r="E387">
        <v>1.1220000000000001</v>
      </c>
      <c r="F387" s="25">
        <v>7.0900000000000005E-2</v>
      </c>
      <c r="G387">
        <v>1.7809999999999999</v>
      </c>
      <c r="H387">
        <v>4.93</v>
      </c>
      <c r="I387">
        <v>6.81</v>
      </c>
      <c r="J387">
        <v>7.41</v>
      </c>
      <c r="K387">
        <v>6.41</v>
      </c>
      <c r="L387">
        <v>5.95</v>
      </c>
      <c r="M387" s="25">
        <v>0.16470000000000001</v>
      </c>
      <c r="N387" s="25">
        <v>0.1293</v>
      </c>
      <c r="O387">
        <v>3.2</v>
      </c>
      <c r="P387" s="25">
        <v>0.36659999999999998</v>
      </c>
      <c r="Q387" s="25">
        <v>0.28620000000000001</v>
      </c>
      <c r="R387" s="26">
        <v>9266360</v>
      </c>
      <c r="S387" s="26">
        <v>965143000</v>
      </c>
      <c r="T387">
        <v>0.21</v>
      </c>
      <c r="U387" s="25">
        <v>0.23</v>
      </c>
    </row>
    <row r="388" spans="1:21" x14ac:dyDescent="0.25">
      <c r="A388" t="s">
        <v>140</v>
      </c>
      <c r="B388">
        <v>20.56</v>
      </c>
      <c r="C388">
        <v>-95.82</v>
      </c>
      <c r="D388">
        <v>0</v>
      </c>
      <c r="E388">
        <v>-8.1649999999999991</v>
      </c>
      <c r="F388" s="25">
        <v>8.6199999999999999E-2</v>
      </c>
      <c r="G388">
        <v>0</v>
      </c>
      <c r="H388">
        <v>0</v>
      </c>
      <c r="I388">
        <v>-40.520000000000003</v>
      </c>
      <c r="J388">
        <v>0</v>
      </c>
      <c r="K388">
        <v>-40.520000000000003</v>
      </c>
      <c r="L388">
        <v>-16.68</v>
      </c>
      <c r="M388" s="25">
        <v>0.20150000000000001</v>
      </c>
      <c r="N388" s="25">
        <v>8.5199999999999998E-2</v>
      </c>
      <c r="O388">
        <v>0</v>
      </c>
      <c r="P388" s="25">
        <v>0</v>
      </c>
      <c r="Q388" s="25">
        <v>0</v>
      </c>
      <c r="R388" s="26">
        <v>128789000</v>
      </c>
      <c r="S388" s="26">
        <v>0</v>
      </c>
      <c r="T388">
        <v>0</v>
      </c>
      <c r="U388" s="25">
        <v>0.1273</v>
      </c>
    </row>
    <row r="389" spans="1:21" x14ac:dyDescent="0.25">
      <c r="A389" t="s">
        <v>454</v>
      </c>
      <c r="B389">
        <v>82</v>
      </c>
      <c r="C389">
        <v>5.04</v>
      </c>
      <c r="D389">
        <v>0.74</v>
      </c>
      <c r="E389">
        <v>0.81200000000000006</v>
      </c>
      <c r="F389" s="25">
        <v>8.5900000000000004E-2</v>
      </c>
      <c r="G389">
        <v>0.59</v>
      </c>
      <c r="H389">
        <v>1.4</v>
      </c>
      <c r="I389">
        <v>5.62</v>
      </c>
      <c r="J389">
        <v>1.53</v>
      </c>
      <c r="K389">
        <v>4.03</v>
      </c>
      <c r="L389">
        <v>3.41</v>
      </c>
      <c r="M389" s="25">
        <v>0.1444</v>
      </c>
      <c r="N389" s="25">
        <v>0.16120000000000001</v>
      </c>
      <c r="O389">
        <v>3.45</v>
      </c>
      <c r="P389" s="25">
        <v>0.1416</v>
      </c>
      <c r="Q389" s="25">
        <v>0.1479</v>
      </c>
      <c r="R389" s="26">
        <v>2735.48</v>
      </c>
      <c r="S389" s="26">
        <v>324623000</v>
      </c>
      <c r="T389">
        <v>0.01</v>
      </c>
      <c r="U389" s="25">
        <v>6.6100000000000006E-2</v>
      </c>
    </row>
    <row r="390" spans="1:21" x14ac:dyDescent="0.25">
      <c r="A390" t="s">
        <v>32</v>
      </c>
      <c r="B390">
        <v>41.04</v>
      </c>
      <c r="C390">
        <v>31.32</v>
      </c>
      <c r="D390">
        <v>5.13</v>
      </c>
      <c r="E390">
        <v>4.5229999999999997</v>
      </c>
      <c r="F390" s="25">
        <v>1.47E-2</v>
      </c>
      <c r="G390">
        <v>2.8319999999999999</v>
      </c>
      <c r="H390">
        <v>13.95</v>
      </c>
      <c r="I390">
        <v>12.28</v>
      </c>
      <c r="J390">
        <v>-37.71</v>
      </c>
      <c r="K390">
        <v>12.12</v>
      </c>
      <c r="L390">
        <v>10.37</v>
      </c>
      <c r="M390" s="25">
        <v>0.36840000000000001</v>
      </c>
      <c r="N390" s="25">
        <v>0.14829999999999999</v>
      </c>
      <c r="O390">
        <v>2.52</v>
      </c>
      <c r="P390" s="25">
        <v>0.30780000000000002</v>
      </c>
      <c r="Q390" s="25">
        <v>0.16370000000000001</v>
      </c>
      <c r="R390" s="26">
        <v>155326000</v>
      </c>
      <c r="S390" s="26">
        <v>4799780000</v>
      </c>
      <c r="T390">
        <v>0.34</v>
      </c>
      <c r="U390" s="25">
        <v>0.18229999999999999</v>
      </c>
    </row>
    <row r="391" spans="1:21" x14ac:dyDescent="0.25">
      <c r="A391" t="s">
        <v>173</v>
      </c>
      <c r="B391">
        <v>4</v>
      </c>
      <c r="C391">
        <v>8.7200000000000006</v>
      </c>
      <c r="D391">
        <v>0.19</v>
      </c>
      <c r="E391">
        <v>0.13600000000000001</v>
      </c>
      <c r="F391" s="25">
        <v>5.7599999999999998E-2</v>
      </c>
      <c r="G391">
        <v>6.5000000000000002E-2</v>
      </c>
      <c r="H391">
        <v>-0.15</v>
      </c>
      <c r="I391">
        <v>0.73</v>
      </c>
      <c r="J391">
        <v>-0.11</v>
      </c>
      <c r="K391">
        <v>6.24</v>
      </c>
      <c r="L391">
        <v>3.8</v>
      </c>
      <c r="M391" s="25">
        <v>0.185</v>
      </c>
      <c r="N391" s="25">
        <v>2.9999999999999997E-4</v>
      </c>
      <c r="O391">
        <v>0.13</v>
      </c>
      <c r="P391" s="25">
        <v>9.3100000000000002E-2</v>
      </c>
      <c r="Q391" s="25">
        <v>2.2100000000000002E-2</v>
      </c>
      <c r="R391" s="26">
        <v>86124.5</v>
      </c>
      <c r="S391" s="26">
        <v>912716000</v>
      </c>
      <c r="T391">
        <v>1.5</v>
      </c>
      <c r="U391" s="25">
        <v>7.6100000000000001E-2</v>
      </c>
    </row>
    <row r="392" spans="1:21" x14ac:dyDescent="0.25">
      <c r="A392" t="s">
        <v>189</v>
      </c>
      <c r="B392">
        <v>7.2</v>
      </c>
      <c r="C392">
        <v>-3.36</v>
      </c>
      <c r="D392">
        <v>1.54</v>
      </c>
      <c r="E392">
        <v>6.9340000000000002</v>
      </c>
      <c r="F392" s="25">
        <v>0</v>
      </c>
      <c r="G392">
        <v>1.409</v>
      </c>
      <c r="H392">
        <v>6.53</v>
      </c>
      <c r="I392">
        <v>-5.78</v>
      </c>
      <c r="J392">
        <v>7.15</v>
      </c>
      <c r="K392">
        <v>-5.27</v>
      </c>
      <c r="L392">
        <v>-7</v>
      </c>
      <c r="M392" s="25">
        <v>-1.1986000000000001</v>
      </c>
      <c r="N392" s="25">
        <v>-2.0678999999999998</v>
      </c>
      <c r="O392">
        <v>4.05</v>
      </c>
      <c r="P392" s="25">
        <v>-0.28270000000000001</v>
      </c>
      <c r="Q392" s="25">
        <v>-0.45900000000000002</v>
      </c>
      <c r="R392" s="26">
        <v>367617</v>
      </c>
      <c r="S392" s="26">
        <v>186999000</v>
      </c>
      <c r="T392">
        <v>0.01</v>
      </c>
      <c r="U392" s="25">
        <v>-0.26050000000000001</v>
      </c>
    </row>
    <row r="393" spans="1:21" x14ac:dyDescent="0.25">
      <c r="A393" t="s">
        <v>117</v>
      </c>
      <c r="B393">
        <v>7.64</v>
      </c>
      <c r="C393">
        <v>7.82</v>
      </c>
      <c r="D393">
        <v>0.95</v>
      </c>
      <c r="E393">
        <v>1.083</v>
      </c>
      <c r="F393" s="25">
        <v>3.9399999999999998E-2</v>
      </c>
      <c r="G393">
        <v>0.45700000000000002</v>
      </c>
      <c r="H393">
        <v>0.76</v>
      </c>
      <c r="I393">
        <v>7.52</v>
      </c>
      <c r="J393">
        <v>1.39</v>
      </c>
      <c r="K393">
        <v>9.39</v>
      </c>
      <c r="L393">
        <v>8.1</v>
      </c>
      <c r="M393" s="25">
        <v>0.14410000000000001</v>
      </c>
      <c r="N393" s="25">
        <v>0.1419</v>
      </c>
      <c r="O393">
        <v>3.57</v>
      </c>
      <c r="P393" s="25">
        <v>7.4899999999999994E-2</v>
      </c>
      <c r="Q393" s="25">
        <v>0.1216</v>
      </c>
      <c r="R393" s="26">
        <v>4868710</v>
      </c>
      <c r="S393" s="26">
        <v>1500220000</v>
      </c>
      <c r="T393">
        <v>0.59</v>
      </c>
      <c r="U393" s="25">
        <v>0.12130000000000001</v>
      </c>
    </row>
    <row r="394" spans="1:21" x14ac:dyDescent="0.25">
      <c r="A394" t="s">
        <v>455</v>
      </c>
      <c r="B394">
        <v>14.56</v>
      </c>
      <c r="C394">
        <v>9.16</v>
      </c>
      <c r="D394">
        <v>1.75</v>
      </c>
      <c r="E394">
        <v>0.53300000000000003</v>
      </c>
      <c r="F394" s="25">
        <v>1.3100000000000001E-2</v>
      </c>
      <c r="G394">
        <v>0.74</v>
      </c>
      <c r="H394">
        <v>3.66</v>
      </c>
      <c r="I394">
        <v>6.07</v>
      </c>
      <c r="J394">
        <v>9.61</v>
      </c>
      <c r="K394">
        <v>6.53</v>
      </c>
      <c r="L394" s="26">
        <v>6.03</v>
      </c>
      <c r="M394" s="25">
        <v>8.7800000000000003E-2</v>
      </c>
      <c r="N394" s="25">
        <v>5.8099999999999999E-2</v>
      </c>
      <c r="O394">
        <v>1.45</v>
      </c>
      <c r="P394" s="25">
        <v>0.23599999999999999</v>
      </c>
      <c r="Q394" s="25">
        <v>0.19109999999999999</v>
      </c>
      <c r="R394" s="26">
        <v>22448000</v>
      </c>
      <c r="S394" s="26">
        <v>4153040000</v>
      </c>
      <c r="T394">
        <v>0.53</v>
      </c>
      <c r="U394" s="25">
        <v>0.32719999999999999</v>
      </c>
    </row>
    <row r="395" spans="1:21" x14ac:dyDescent="0.25">
      <c r="A395" t="s">
        <v>160</v>
      </c>
      <c r="B395">
        <v>19.079999999999998</v>
      </c>
      <c r="C395">
        <v>-64.31</v>
      </c>
      <c r="D395">
        <v>0.83</v>
      </c>
      <c r="E395">
        <v>0.26100000000000001</v>
      </c>
      <c r="F395" s="25">
        <v>7.2999999999999995E-2</v>
      </c>
      <c r="G395">
        <v>0.25700000000000001</v>
      </c>
      <c r="H395">
        <v>0.71</v>
      </c>
      <c r="I395">
        <v>3.25</v>
      </c>
      <c r="J395">
        <v>-5.0199999999999996</v>
      </c>
      <c r="K395">
        <v>6.25</v>
      </c>
      <c r="L395" s="26">
        <v>4.2699999999999996</v>
      </c>
      <c r="M395" s="25">
        <v>8.0299999999999996E-2</v>
      </c>
      <c r="N395" s="25">
        <v>-4.1999999999999997E-3</v>
      </c>
      <c r="O395">
        <v>2.33</v>
      </c>
      <c r="P395" s="25">
        <v>0.1144</v>
      </c>
      <c r="Q395" s="25">
        <v>-1.29E-2</v>
      </c>
      <c r="R395" s="26">
        <v>16206900</v>
      </c>
      <c r="S395" s="26">
        <v>3314060000</v>
      </c>
      <c r="T395">
        <v>1.28</v>
      </c>
      <c r="U395" s="25">
        <v>0.21640000000000001</v>
      </c>
    </row>
    <row r="396" spans="1:21" x14ac:dyDescent="0.25">
      <c r="A396" t="s">
        <v>456</v>
      </c>
      <c r="B396">
        <v>8.5</v>
      </c>
      <c r="C396">
        <v>-0.83</v>
      </c>
      <c r="D396">
        <v>-0.1</v>
      </c>
      <c r="E396">
        <v>0.308</v>
      </c>
      <c r="F396" s="25">
        <v>0</v>
      </c>
      <c r="G396">
        <v>0.214</v>
      </c>
      <c r="H396">
        <v>-0.21</v>
      </c>
      <c r="I396">
        <v>-7.39</v>
      </c>
      <c r="J396">
        <v>-0.08</v>
      </c>
      <c r="K396">
        <v>-73.38</v>
      </c>
      <c r="L396" s="26">
        <v>-1325.78</v>
      </c>
      <c r="M396" s="25">
        <v>-4.1599999999999998E-2</v>
      </c>
      <c r="N396" s="25">
        <v>-0.37230000000000002</v>
      </c>
      <c r="O396">
        <v>0.27</v>
      </c>
      <c r="P396" s="25">
        <v>-3.0599999999999999E-2</v>
      </c>
      <c r="Q396" s="25">
        <v>0.1215</v>
      </c>
      <c r="R396" s="26">
        <v>101.19</v>
      </c>
      <c r="S396" s="26">
        <v>-360582000</v>
      </c>
      <c r="T396">
        <v>-0.9</v>
      </c>
      <c r="U396" s="25">
        <v>-5.1999999999999998E-3</v>
      </c>
    </row>
    <row r="397" spans="1:21" x14ac:dyDescent="0.25">
      <c r="A397" t="s">
        <v>457</v>
      </c>
      <c r="B397">
        <v>1.75</v>
      </c>
      <c r="C397" s="26">
        <v>-0.17</v>
      </c>
      <c r="D397">
        <v>-0.02</v>
      </c>
      <c r="E397">
        <v>6.3E-2</v>
      </c>
      <c r="F397" s="25">
        <v>0</v>
      </c>
      <c r="G397">
        <v>4.3999999999999997E-2</v>
      </c>
      <c r="H397">
        <v>-0.04</v>
      </c>
      <c r="I397">
        <v>-1.52</v>
      </c>
      <c r="J397">
        <v>-0.02</v>
      </c>
      <c r="K397">
        <v>-67.510000000000005</v>
      </c>
      <c r="L397" s="26">
        <v>-1219.7</v>
      </c>
      <c r="M397" s="25">
        <v>-4.1599999999999998E-2</v>
      </c>
      <c r="N397" s="25">
        <v>-0.37230000000000002</v>
      </c>
      <c r="O397">
        <v>0.27</v>
      </c>
      <c r="P397" s="25">
        <v>-3.0599999999999999E-2</v>
      </c>
      <c r="Q397" s="25">
        <v>0.1215</v>
      </c>
      <c r="R397" s="26">
        <v>3998.74</v>
      </c>
      <c r="S397" s="26">
        <v>-360582000</v>
      </c>
      <c r="T397">
        <v>-0.9</v>
      </c>
      <c r="U397" s="25">
        <v>-5.1999999999999998E-3</v>
      </c>
    </row>
    <row r="398" spans="1:21" x14ac:dyDescent="0.25">
      <c r="A398" t="s">
        <v>124</v>
      </c>
      <c r="B398">
        <v>1.5</v>
      </c>
      <c r="C398">
        <v>23.48</v>
      </c>
      <c r="D398">
        <v>0.53</v>
      </c>
      <c r="E398">
        <v>0.44600000000000001</v>
      </c>
      <c r="F398" s="25">
        <v>0.1211</v>
      </c>
      <c r="G398">
        <v>0.255</v>
      </c>
      <c r="H398">
        <v>3.42</v>
      </c>
      <c r="I398">
        <v>-15.01</v>
      </c>
      <c r="J398">
        <v>-1.27</v>
      </c>
      <c r="K398">
        <v>-23.78</v>
      </c>
      <c r="L398">
        <v>17.37</v>
      </c>
      <c r="M398" s="25">
        <v>-2.9700000000000001E-2</v>
      </c>
      <c r="N398" s="25">
        <v>1.9E-2</v>
      </c>
      <c r="O398">
        <v>1.3</v>
      </c>
      <c r="P398" s="25">
        <v>-2.06E-2</v>
      </c>
      <c r="Q398" s="25">
        <v>2.2599999999999999E-2</v>
      </c>
      <c r="R398" s="26">
        <v>85323.4</v>
      </c>
      <c r="S398" s="26">
        <v>186424000</v>
      </c>
      <c r="T398">
        <v>0.59</v>
      </c>
      <c r="U398" s="25">
        <v>5.11E-2</v>
      </c>
    </row>
    <row r="399" spans="1:21" x14ac:dyDescent="0.25">
      <c r="A399" t="s">
        <v>115</v>
      </c>
      <c r="B399">
        <v>16.989999999999998</v>
      </c>
      <c r="C399">
        <v>8.3699999999999992</v>
      </c>
      <c r="D399">
        <v>1.25</v>
      </c>
      <c r="E399">
        <v>0.13900000000000001</v>
      </c>
      <c r="F399" s="25">
        <v>4.1200000000000001E-2</v>
      </c>
      <c r="G399">
        <v>0.502</v>
      </c>
      <c r="H399">
        <v>3.02</v>
      </c>
      <c r="I399">
        <v>3.59</v>
      </c>
      <c r="J399">
        <v>-2.6</v>
      </c>
      <c r="K399">
        <v>5.91</v>
      </c>
      <c r="L399">
        <v>4.79</v>
      </c>
      <c r="M399" s="25">
        <v>3.8699999999999998E-2</v>
      </c>
      <c r="N399" s="25">
        <v>1.78E-2</v>
      </c>
      <c r="O399">
        <v>1.76</v>
      </c>
      <c r="P399" s="25">
        <v>0.16789999999999999</v>
      </c>
      <c r="Q399" s="25">
        <v>0.14899999999999999</v>
      </c>
      <c r="R399" s="26">
        <v>98625100</v>
      </c>
      <c r="S399" s="26">
        <v>15195500000</v>
      </c>
      <c r="T399">
        <v>0.99</v>
      </c>
      <c r="U399" s="25">
        <v>0.11020000000000001</v>
      </c>
    </row>
    <row r="400" spans="1:21" x14ac:dyDescent="0.25">
      <c r="A400" t="s">
        <v>458</v>
      </c>
      <c r="B400">
        <v>53.29</v>
      </c>
      <c r="C400">
        <v>9.26</v>
      </c>
      <c r="D400">
        <v>2.2799999999999998</v>
      </c>
      <c r="E400">
        <v>1.07</v>
      </c>
      <c r="F400" s="25">
        <v>8.6400000000000005E-2</v>
      </c>
      <c r="G400">
        <v>0.82799999999999996</v>
      </c>
      <c r="H400">
        <v>3.81</v>
      </c>
      <c r="I400">
        <v>7.86</v>
      </c>
      <c r="J400">
        <v>-3.45</v>
      </c>
      <c r="K400">
        <v>9.1300000000000008</v>
      </c>
      <c r="L400">
        <v>6.37</v>
      </c>
      <c r="M400" s="25">
        <v>0.1361</v>
      </c>
      <c r="N400" s="25">
        <v>0.11559999999999999</v>
      </c>
      <c r="O400">
        <v>2.2400000000000002</v>
      </c>
      <c r="P400" s="25">
        <v>0.14269999999999999</v>
      </c>
      <c r="Q400" s="25">
        <v>0.2457</v>
      </c>
      <c r="R400" s="26">
        <v>251204</v>
      </c>
      <c r="S400" s="26">
        <v>2649660000</v>
      </c>
      <c r="T400">
        <v>0.93</v>
      </c>
      <c r="U400" s="25">
        <v>8.0000000000000002E-3</v>
      </c>
    </row>
    <row r="401" spans="1:21" x14ac:dyDescent="0.25">
      <c r="A401" t="s">
        <v>459</v>
      </c>
      <c r="B401">
        <v>59</v>
      </c>
      <c r="C401">
        <v>10.26</v>
      </c>
      <c r="D401">
        <v>2.52</v>
      </c>
      <c r="E401">
        <v>1.1850000000000001</v>
      </c>
      <c r="F401" s="25">
        <v>8.5800000000000001E-2</v>
      </c>
      <c r="G401">
        <v>0.91700000000000004</v>
      </c>
      <c r="H401">
        <v>4.21</v>
      </c>
      <c r="I401">
        <v>8.7100000000000009</v>
      </c>
      <c r="J401">
        <v>-3.82</v>
      </c>
      <c r="K401">
        <v>9.9700000000000006</v>
      </c>
      <c r="L401">
        <v>6.96</v>
      </c>
      <c r="M401" s="25">
        <v>0.1361</v>
      </c>
      <c r="N401" s="25">
        <v>0.11559999999999999</v>
      </c>
      <c r="O401">
        <v>2.2400000000000002</v>
      </c>
      <c r="P401" s="25">
        <v>0.14269999999999999</v>
      </c>
      <c r="Q401" s="25">
        <v>0.2457</v>
      </c>
      <c r="R401" s="26">
        <v>68297.600000000006</v>
      </c>
      <c r="S401" s="26">
        <v>2649660000</v>
      </c>
      <c r="T401">
        <v>0.93</v>
      </c>
      <c r="U401" s="25">
        <v>8.0000000000000002E-3</v>
      </c>
    </row>
    <row r="402" spans="1:21" x14ac:dyDescent="0.25">
      <c r="A402" t="s">
        <v>151</v>
      </c>
      <c r="B402">
        <v>59.11</v>
      </c>
      <c r="C402">
        <v>10.28</v>
      </c>
      <c r="D402">
        <v>2.52</v>
      </c>
      <c r="E402">
        <v>1.1870000000000001</v>
      </c>
      <c r="F402" s="25">
        <v>8.5699999999999998E-2</v>
      </c>
      <c r="G402">
        <v>0.91900000000000004</v>
      </c>
      <c r="H402">
        <v>4.22</v>
      </c>
      <c r="I402">
        <v>8.7200000000000006</v>
      </c>
      <c r="J402">
        <v>-3.83</v>
      </c>
      <c r="K402">
        <v>9.99</v>
      </c>
      <c r="L402">
        <v>6.97</v>
      </c>
      <c r="M402" s="25">
        <v>0.1361</v>
      </c>
      <c r="N402" s="25">
        <v>0.11559999999999999</v>
      </c>
      <c r="O402">
        <v>2.2400000000000002</v>
      </c>
      <c r="P402" s="25">
        <v>0.14269999999999999</v>
      </c>
      <c r="Q402" s="25">
        <v>0.2457</v>
      </c>
      <c r="R402" s="26">
        <v>7331840</v>
      </c>
      <c r="S402" s="26">
        <v>2649660000</v>
      </c>
      <c r="T402">
        <v>0.93</v>
      </c>
      <c r="U402" s="25">
        <v>8.0000000000000002E-3</v>
      </c>
    </row>
    <row r="403" spans="1:21" x14ac:dyDescent="0.25">
      <c r="A403" t="s">
        <v>113</v>
      </c>
      <c r="B403">
        <v>4.76</v>
      </c>
      <c r="C403">
        <v>42.45</v>
      </c>
      <c r="D403">
        <v>0.25</v>
      </c>
      <c r="E403">
        <v>0.22500000000000001</v>
      </c>
      <c r="F403" s="25">
        <v>0</v>
      </c>
      <c r="G403">
        <v>0.14599999999999999</v>
      </c>
      <c r="H403">
        <v>0.42</v>
      </c>
      <c r="I403">
        <v>6.36</v>
      </c>
      <c r="J403">
        <v>1.29</v>
      </c>
      <c r="K403">
        <v>7.69</v>
      </c>
      <c r="L403">
        <v>3.32</v>
      </c>
      <c r="M403" s="25">
        <v>3.5400000000000001E-2</v>
      </c>
      <c r="N403" s="25">
        <v>1.15E-2</v>
      </c>
      <c r="O403">
        <v>4.26</v>
      </c>
      <c r="P403" s="25">
        <v>2.98E-2</v>
      </c>
      <c r="Q403" s="25">
        <v>5.7999999999999996E-3</v>
      </c>
      <c r="R403" s="26">
        <v>1771070</v>
      </c>
      <c r="S403" s="26">
        <v>24175800000</v>
      </c>
      <c r="T403">
        <v>0.32</v>
      </c>
      <c r="U403" s="25">
        <v>3.7600000000000001E-2</v>
      </c>
    </row>
    <row r="404" spans="1:21" x14ac:dyDescent="0.25">
      <c r="A404" t="s">
        <v>125</v>
      </c>
      <c r="B404">
        <v>4.7699999999999996</v>
      </c>
      <c r="C404">
        <v>42.53</v>
      </c>
      <c r="D404">
        <v>0.25</v>
      </c>
      <c r="E404">
        <v>0.22600000000000001</v>
      </c>
      <c r="F404" s="25">
        <v>0</v>
      </c>
      <c r="G404">
        <v>0.14699999999999999</v>
      </c>
      <c r="H404">
        <v>0.43</v>
      </c>
      <c r="I404">
        <v>6.37</v>
      </c>
      <c r="J404">
        <v>1.3</v>
      </c>
      <c r="K404">
        <v>7.7</v>
      </c>
      <c r="L404">
        <v>3.33</v>
      </c>
      <c r="M404" s="25">
        <v>3.5400000000000001E-2</v>
      </c>
      <c r="N404" s="25">
        <v>1.15E-2</v>
      </c>
      <c r="O404">
        <v>4.26</v>
      </c>
      <c r="P404" s="25">
        <v>2.98E-2</v>
      </c>
      <c r="Q404" s="25">
        <v>5.7999999999999996E-3</v>
      </c>
      <c r="R404" s="26">
        <v>64196100</v>
      </c>
      <c r="S404" s="26">
        <v>24175800000</v>
      </c>
      <c r="T404">
        <v>0.32</v>
      </c>
      <c r="U404" s="25">
        <v>3.7600000000000001E-2</v>
      </c>
    </row>
    <row r="405" spans="1:21" x14ac:dyDescent="0.25">
      <c r="A405" t="s">
        <v>460</v>
      </c>
      <c r="B405">
        <v>8</v>
      </c>
      <c r="C405">
        <v>71.34</v>
      </c>
      <c r="D405">
        <v>0.41</v>
      </c>
      <c r="E405">
        <v>0.378</v>
      </c>
      <c r="F405" s="25">
        <v>0</v>
      </c>
      <c r="G405">
        <v>0.246</v>
      </c>
      <c r="H405">
        <v>0.71</v>
      </c>
      <c r="I405">
        <v>10.68</v>
      </c>
      <c r="J405">
        <v>2.17</v>
      </c>
      <c r="K405">
        <v>12.02</v>
      </c>
      <c r="L405">
        <v>5.19</v>
      </c>
      <c r="M405" s="25">
        <v>3.5400000000000001E-2</v>
      </c>
      <c r="N405" s="25">
        <v>1.15E-2</v>
      </c>
      <c r="O405">
        <v>4.26</v>
      </c>
      <c r="P405" s="25">
        <v>2.98E-2</v>
      </c>
      <c r="Q405" s="25">
        <v>5.7999999999999996E-3</v>
      </c>
      <c r="R405" s="26">
        <v>367.5</v>
      </c>
      <c r="S405" s="26">
        <v>24175800000</v>
      </c>
      <c r="T405">
        <v>0.32</v>
      </c>
      <c r="U405" s="25">
        <v>3.7600000000000001E-2</v>
      </c>
    </row>
    <row r="406" spans="1:21" x14ac:dyDescent="0.25">
      <c r="A406" t="s">
        <v>97</v>
      </c>
      <c r="B406">
        <v>52.13</v>
      </c>
      <c r="C406">
        <v>7.52</v>
      </c>
      <c r="D406">
        <v>1.17</v>
      </c>
      <c r="E406">
        <v>1.119</v>
      </c>
      <c r="F406" s="25">
        <v>9.1200000000000003E-2</v>
      </c>
      <c r="G406">
        <v>0.49399999999999999</v>
      </c>
      <c r="H406">
        <v>28.35</v>
      </c>
      <c r="I406">
        <v>3.31</v>
      </c>
      <c r="J406">
        <v>-1.27</v>
      </c>
      <c r="K406">
        <v>4.29</v>
      </c>
      <c r="L406">
        <v>3.46</v>
      </c>
      <c r="M406" s="25">
        <v>0.33779999999999999</v>
      </c>
      <c r="N406" s="25">
        <v>0.1431</v>
      </c>
      <c r="O406">
        <v>1.1100000000000001</v>
      </c>
      <c r="P406" s="25">
        <v>0.1658</v>
      </c>
      <c r="Q406" s="25">
        <v>0.15570000000000001</v>
      </c>
      <c r="R406" s="26">
        <v>875030000</v>
      </c>
      <c r="S406" s="26">
        <v>202082000000</v>
      </c>
      <c r="T406">
        <v>0.46</v>
      </c>
      <c r="U406" s="25">
        <v>-5.9799999999999999E-2</v>
      </c>
    </row>
    <row r="407" spans="1:21" x14ac:dyDescent="0.25">
      <c r="A407" t="s">
        <v>213</v>
      </c>
      <c r="B407">
        <v>4.6399999999999997</v>
      </c>
      <c r="C407">
        <v>16.399999999999999</v>
      </c>
      <c r="D407">
        <v>2.02</v>
      </c>
      <c r="E407">
        <v>1.165</v>
      </c>
      <c r="F407" s="25">
        <v>5.91E-2</v>
      </c>
      <c r="G407">
        <v>0.224</v>
      </c>
      <c r="H407">
        <v>1.84</v>
      </c>
      <c r="I407">
        <v>1.82</v>
      </c>
      <c r="J407">
        <v>-0.36</v>
      </c>
      <c r="K407">
        <v>6.15</v>
      </c>
      <c r="L407">
        <v>4.74</v>
      </c>
      <c r="M407" s="25">
        <v>0.63870000000000005</v>
      </c>
      <c r="N407" s="25">
        <v>7.0999999999999994E-2</v>
      </c>
      <c r="O407">
        <v>1.86</v>
      </c>
      <c r="P407" s="25">
        <v>0.16239999999999999</v>
      </c>
      <c r="Q407" s="25">
        <v>0.1229</v>
      </c>
      <c r="R407" s="26">
        <v>60977600</v>
      </c>
      <c r="S407" s="26">
        <v>2488240000</v>
      </c>
      <c r="T407">
        <v>6.58</v>
      </c>
      <c r="U407" s="25">
        <v>0.27750000000000002</v>
      </c>
    </row>
    <row r="408" spans="1:21" x14ac:dyDescent="0.25">
      <c r="A408" t="s">
        <v>116</v>
      </c>
      <c r="B408">
        <v>21.07</v>
      </c>
      <c r="C408">
        <v>3.81</v>
      </c>
      <c r="D408">
        <v>1.1499999999999999</v>
      </c>
      <c r="E408">
        <v>0.13300000000000001</v>
      </c>
      <c r="F408" s="25">
        <v>8.4599999999999995E-2</v>
      </c>
      <c r="G408">
        <v>0.379</v>
      </c>
      <c r="H408">
        <v>1.87</v>
      </c>
      <c r="I408">
        <v>5.18</v>
      </c>
      <c r="J408">
        <v>-1.54</v>
      </c>
      <c r="K408">
        <v>9.77</v>
      </c>
      <c r="L408">
        <v>8.5500000000000007</v>
      </c>
      <c r="M408" s="25">
        <v>2.5600000000000001E-2</v>
      </c>
      <c r="N408" s="25">
        <v>3.4799999999999998E-2</v>
      </c>
      <c r="O408">
        <v>1.94</v>
      </c>
      <c r="P408" s="25">
        <v>8.4500000000000006E-2</v>
      </c>
      <c r="Q408" s="25">
        <v>0.30130000000000001</v>
      </c>
      <c r="R408" s="26">
        <v>185407000</v>
      </c>
      <c r="S408" s="26">
        <v>20557000000</v>
      </c>
      <c r="T408">
        <v>1.28</v>
      </c>
      <c r="U408" s="25">
        <v>0.1709</v>
      </c>
    </row>
    <row r="409" spans="1:21" x14ac:dyDescent="0.25">
      <c r="A409" t="s">
        <v>220</v>
      </c>
      <c r="B409">
        <v>4.49</v>
      </c>
      <c r="C409">
        <v>9.27</v>
      </c>
      <c r="D409">
        <v>1.07</v>
      </c>
      <c r="E409">
        <v>0.84099999999999997</v>
      </c>
      <c r="F409" s="25">
        <v>3.7699999999999997E-2</v>
      </c>
      <c r="G409">
        <v>0.68500000000000005</v>
      </c>
      <c r="H409">
        <v>1.74</v>
      </c>
      <c r="I409">
        <v>8.01</v>
      </c>
      <c r="J409">
        <v>2.5499999999999998</v>
      </c>
      <c r="K409">
        <v>10.98</v>
      </c>
      <c r="L409">
        <v>8.68</v>
      </c>
      <c r="M409" s="25">
        <v>0.105</v>
      </c>
      <c r="N409" s="25">
        <v>9.0399999999999994E-2</v>
      </c>
      <c r="O409">
        <v>2.67</v>
      </c>
      <c r="P409" s="25">
        <v>8.9099999999999999E-2</v>
      </c>
      <c r="Q409" s="25">
        <v>0.1159</v>
      </c>
      <c r="R409" s="26">
        <v>1260030</v>
      </c>
      <c r="S409" s="26">
        <v>628625000</v>
      </c>
      <c r="T409">
        <v>0.43</v>
      </c>
      <c r="U409" s="25">
        <v>5.5399999999999998E-2</v>
      </c>
    </row>
    <row r="410" spans="1:21" x14ac:dyDescent="0.25">
      <c r="A410" t="s">
        <v>142</v>
      </c>
      <c r="B410">
        <v>24.36</v>
      </c>
      <c r="C410">
        <v>7.85</v>
      </c>
      <c r="D410">
        <v>2.2000000000000002</v>
      </c>
      <c r="E410">
        <v>2.1549999999999998</v>
      </c>
      <c r="F410" s="25">
        <v>2.7099999999999999E-2</v>
      </c>
      <c r="G410">
        <v>1.361</v>
      </c>
      <c r="H410">
        <v>3.03</v>
      </c>
      <c r="I410">
        <v>8.81</v>
      </c>
      <c r="J410">
        <v>5.59</v>
      </c>
      <c r="K410">
        <v>9.26</v>
      </c>
      <c r="L410">
        <v>7.49</v>
      </c>
      <c r="M410" s="25">
        <v>0.2445</v>
      </c>
      <c r="N410" s="25">
        <v>0.27439999999999998</v>
      </c>
      <c r="O410">
        <v>3.54</v>
      </c>
      <c r="P410" s="25">
        <v>0.16789999999999999</v>
      </c>
      <c r="Q410" s="25">
        <v>0.28050000000000003</v>
      </c>
      <c r="R410" s="26">
        <v>89012400</v>
      </c>
      <c r="S410" s="26">
        <v>2611940000</v>
      </c>
      <c r="T410">
        <v>0.18</v>
      </c>
      <c r="U410" s="25">
        <v>0.24540000000000001</v>
      </c>
    </row>
    <row r="411" spans="1:21" x14ac:dyDescent="0.25">
      <c r="A411" t="s">
        <v>254</v>
      </c>
      <c r="B411">
        <v>0.88</v>
      </c>
      <c r="C411">
        <v>-0.76</v>
      </c>
      <c r="D411">
        <v>0.24</v>
      </c>
      <c r="E411">
        <v>0.3</v>
      </c>
      <c r="F411" s="25">
        <v>0</v>
      </c>
      <c r="G411">
        <v>0.121</v>
      </c>
      <c r="H411">
        <v>0.69</v>
      </c>
      <c r="I411">
        <v>13.55</v>
      </c>
      <c r="J411">
        <v>-2.61</v>
      </c>
      <c r="K411">
        <v>13.97</v>
      </c>
      <c r="L411">
        <v>11.97</v>
      </c>
      <c r="M411" s="25">
        <v>2.2100000000000002E-2</v>
      </c>
      <c r="N411" s="25">
        <v>-0.38350000000000001</v>
      </c>
      <c r="O411">
        <v>1.71</v>
      </c>
      <c r="P411" s="25">
        <v>9.7000000000000003E-3</v>
      </c>
      <c r="Q411" s="25">
        <v>-0.312</v>
      </c>
      <c r="R411" s="26">
        <v>67541.399999999994</v>
      </c>
      <c r="S411" s="26">
        <v>142168000</v>
      </c>
      <c r="T411">
        <v>0.15</v>
      </c>
      <c r="U411" s="25">
        <v>0.2097</v>
      </c>
    </row>
    <row r="412" spans="1:21" x14ac:dyDescent="0.25">
      <c r="A412" t="s">
        <v>152</v>
      </c>
      <c r="B412">
        <v>29.79</v>
      </c>
      <c r="C412">
        <v>17.010000000000002</v>
      </c>
      <c r="D412">
        <v>1.43</v>
      </c>
      <c r="E412">
        <v>1.714</v>
      </c>
      <c r="F412" s="25">
        <v>5.4800000000000001E-2</v>
      </c>
      <c r="G412">
        <v>0.76700000000000002</v>
      </c>
      <c r="H412">
        <v>-101.16</v>
      </c>
      <c r="I412">
        <v>11.57</v>
      </c>
      <c r="J412">
        <v>-2.97</v>
      </c>
      <c r="K412">
        <v>13.04</v>
      </c>
      <c r="L412">
        <v>4.7699999999999996</v>
      </c>
      <c r="M412" s="25">
        <v>0.14810000000000001</v>
      </c>
      <c r="N412" s="25">
        <v>0.1009</v>
      </c>
      <c r="O412">
        <v>0.96</v>
      </c>
      <c r="P412" s="25">
        <v>7.7100000000000002E-2</v>
      </c>
      <c r="Q412" s="25">
        <v>8.3900000000000002E-2</v>
      </c>
      <c r="R412" s="26">
        <v>197983000</v>
      </c>
      <c r="S412" s="26">
        <v>68076000000</v>
      </c>
      <c r="T412">
        <v>0.3</v>
      </c>
      <c r="U412" s="25">
        <v>7.4499999999999997E-2</v>
      </c>
    </row>
    <row r="413" spans="1:21" x14ac:dyDescent="0.25">
      <c r="A413" t="s">
        <v>59</v>
      </c>
      <c r="B413">
        <v>25.39</v>
      </c>
      <c r="C413">
        <v>6.78</v>
      </c>
      <c r="D413">
        <v>1.19</v>
      </c>
      <c r="E413">
        <v>0.95</v>
      </c>
      <c r="F413" s="25">
        <v>0.1065</v>
      </c>
      <c r="G413">
        <v>0.70499999999999996</v>
      </c>
      <c r="H413">
        <v>2.12</v>
      </c>
      <c r="I413">
        <v>5.47</v>
      </c>
      <c r="J413">
        <v>6.37</v>
      </c>
      <c r="K413">
        <v>5.35</v>
      </c>
      <c r="L413">
        <v>4.2</v>
      </c>
      <c r="M413" s="25">
        <v>0.17369999999999999</v>
      </c>
      <c r="N413" s="25">
        <v>0.1401</v>
      </c>
      <c r="O413">
        <v>2.83</v>
      </c>
      <c r="P413" s="25">
        <v>0.1787</v>
      </c>
      <c r="Q413" s="25">
        <v>0.17510000000000001</v>
      </c>
      <c r="R413" s="26">
        <v>8598060</v>
      </c>
      <c r="S413" s="26">
        <v>1750530000</v>
      </c>
      <c r="T413">
        <v>0.34</v>
      </c>
      <c r="U413" s="25">
        <v>1.8200000000000001E-2</v>
      </c>
    </row>
    <row r="414" spans="1:21" x14ac:dyDescent="0.25">
      <c r="A414" t="s">
        <v>261</v>
      </c>
      <c r="B414">
        <v>6.01</v>
      </c>
      <c r="C414">
        <v>-73.3</v>
      </c>
      <c r="D414">
        <v>0.67</v>
      </c>
      <c r="E414">
        <v>0.60799999999999998</v>
      </c>
      <c r="F414" s="25">
        <v>2.0000000000000001E-4</v>
      </c>
      <c r="G414">
        <v>0.41699999999999998</v>
      </c>
      <c r="H414">
        <v>4.87</v>
      </c>
      <c r="I414">
        <v>16.41</v>
      </c>
      <c r="J414">
        <v>-5.09</v>
      </c>
      <c r="K414">
        <v>23.53</v>
      </c>
      <c r="L414">
        <v>4.5999999999999996</v>
      </c>
      <c r="M414" s="25">
        <v>3.7100000000000001E-2</v>
      </c>
      <c r="N414" s="25">
        <v>-8.3000000000000001E-3</v>
      </c>
      <c r="O414">
        <v>1.41</v>
      </c>
      <c r="P414" s="25">
        <v>2.8400000000000002E-2</v>
      </c>
      <c r="Q414" s="25">
        <v>-9.1000000000000004E-3</v>
      </c>
      <c r="R414" s="26">
        <v>225672</v>
      </c>
      <c r="S414" s="26">
        <v>1029440000</v>
      </c>
      <c r="T414">
        <v>0.33</v>
      </c>
      <c r="U414" s="25">
        <v>0.16880000000000001</v>
      </c>
    </row>
    <row r="415" spans="1:21" x14ac:dyDescent="0.25">
      <c r="A415" t="s">
        <v>461</v>
      </c>
      <c r="B415">
        <v>9.2799999999999994</v>
      </c>
      <c r="C415">
        <v>3.76</v>
      </c>
      <c r="D415">
        <v>0.48</v>
      </c>
      <c r="E415">
        <v>0.56999999999999995</v>
      </c>
      <c r="F415" s="25">
        <v>2.3E-3</v>
      </c>
      <c r="G415">
        <v>0.21</v>
      </c>
      <c r="H415">
        <v>2.4300000000000002</v>
      </c>
      <c r="I415">
        <v>1.68</v>
      </c>
      <c r="J415">
        <v>-0.52</v>
      </c>
      <c r="K415">
        <v>4.18</v>
      </c>
      <c r="L415">
        <v>3.23</v>
      </c>
      <c r="M415" s="25">
        <v>0.33910000000000001</v>
      </c>
      <c r="N415" s="25">
        <v>0.1515</v>
      </c>
      <c r="O415">
        <v>2.15</v>
      </c>
      <c r="P415" s="25">
        <v>0.14149999999999999</v>
      </c>
      <c r="Q415" s="25">
        <v>0.1268</v>
      </c>
      <c r="R415" s="26">
        <v>7294960</v>
      </c>
      <c r="S415" s="26">
        <v>2608610000</v>
      </c>
      <c r="T415">
        <v>0.93</v>
      </c>
      <c r="U415" s="25">
        <v>0.1741</v>
      </c>
    </row>
    <row r="416" spans="1:21" x14ac:dyDescent="0.25">
      <c r="A416" t="s">
        <v>190</v>
      </c>
      <c r="B416">
        <v>19.5</v>
      </c>
      <c r="C416">
        <v>9.15</v>
      </c>
      <c r="D416">
        <v>2.44</v>
      </c>
      <c r="E416">
        <v>1.704</v>
      </c>
      <c r="F416" s="25">
        <v>7.0300000000000001E-2</v>
      </c>
      <c r="G416">
        <v>1.8320000000000001</v>
      </c>
      <c r="H416">
        <v>3.58</v>
      </c>
      <c r="I416">
        <v>9.6</v>
      </c>
      <c r="J416">
        <v>4.0599999999999996</v>
      </c>
      <c r="K416">
        <v>9.6199999999999992</v>
      </c>
      <c r="L416">
        <v>8.02</v>
      </c>
      <c r="M416" s="25">
        <v>0.17749999999999999</v>
      </c>
      <c r="N416" s="25">
        <v>0.18629999999999999</v>
      </c>
      <c r="O416">
        <v>3.74</v>
      </c>
      <c r="P416" s="25">
        <v>0.22</v>
      </c>
      <c r="Q416" s="25">
        <v>0.26619999999999999</v>
      </c>
      <c r="R416" s="26">
        <v>15244800</v>
      </c>
      <c r="S416" s="26">
        <v>2205960000</v>
      </c>
      <c r="T416">
        <v>0.12</v>
      </c>
      <c r="U416" s="25">
        <v>0.24379999999999999</v>
      </c>
    </row>
    <row r="417" spans="1:21" x14ac:dyDescent="0.25">
      <c r="A417" t="s">
        <v>222</v>
      </c>
      <c r="B417">
        <v>1.2</v>
      </c>
      <c r="C417">
        <v>-0.26</v>
      </c>
      <c r="D417">
        <v>0.21</v>
      </c>
      <c r="E417">
        <v>3.4000000000000002E-2</v>
      </c>
      <c r="F417" s="25">
        <v>0</v>
      </c>
      <c r="G417">
        <v>4.1000000000000002E-2</v>
      </c>
      <c r="H417">
        <v>0.16</v>
      </c>
      <c r="I417">
        <v>-2.54</v>
      </c>
      <c r="J417">
        <v>-0.17</v>
      </c>
      <c r="K417">
        <v>-21.51</v>
      </c>
      <c r="L417">
        <v>19.89</v>
      </c>
      <c r="M417" s="25">
        <v>-1.3299999999999999E-2</v>
      </c>
      <c r="N417" s="25">
        <v>-0.1295</v>
      </c>
      <c r="O417">
        <v>1.85</v>
      </c>
      <c r="P417" s="25">
        <v>-2.3E-2</v>
      </c>
      <c r="Q417" s="25">
        <v>-0.79069999999999996</v>
      </c>
      <c r="R417" s="26">
        <v>1941590</v>
      </c>
      <c r="S417" s="26">
        <v>1868630000</v>
      </c>
      <c r="T417">
        <v>2.02</v>
      </c>
      <c r="U417" s="25">
        <v>0.1948</v>
      </c>
    </row>
    <row r="418" spans="1:21" x14ac:dyDescent="0.25">
      <c r="A418" t="s">
        <v>77</v>
      </c>
      <c r="B418">
        <v>42.39</v>
      </c>
      <c r="C418">
        <v>28.42</v>
      </c>
      <c r="D418">
        <v>8.36</v>
      </c>
      <c r="E418">
        <v>4.4450000000000003</v>
      </c>
      <c r="F418" s="25">
        <v>1.8499999999999999E-2</v>
      </c>
      <c r="G418">
        <v>4.5250000000000004</v>
      </c>
      <c r="H418">
        <v>17.100000000000001</v>
      </c>
      <c r="I418">
        <v>20.11</v>
      </c>
      <c r="J418">
        <v>22.17</v>
      </c>
      <c r="K418">
        <v>19.829999999999998</v>
      </c>
      <c r="L418">
        <v>18.05</v>
      </c>
      <c r="M418" s="25">
        <v>0.22109999999999999</v>
      </c>
      <c r="N418" s="25">
        <v>0.1643</v>
      </c>
      <c r="O418">
        <v>1.71</v>
      </c>
      <c r="P418" s="25">
        <v>0.29210000000000003</v>
      </c>
      <c r="Q418" s="25">
        <v>0.29420000000000002</v>
      </c>
      <c r="R418" s="26">
        <v>370688000</v>
      </c>
      <c r="S418" s="26">
        <v>21281600000</v>
      </c>
      <c r="T418">
        <v>0.15</v>
      </c>
      <c r="U418" s="25">
        <v>0.19350000000000001</v>
      </c>
    </row>
    <row r="419" spans="1:21" x14ac:dyDescent="0.25">
      <c r="A419" t="s">
        <v>84</v>
      </c>
      <c r="B419">
        <v>4.25</v>
      </c>
      <c r="C419">
        <v>-2.41</v>
      </c>
      <c r="D419">
        <v>0.21</v>
      </c>
      <c r="E419">
        <v>0.29399999999999998</v>
      </c>
      <c r="F419" s="25">
        <v>0</v>
      </c>
      <c r="G419">
        <v>0.158</v>
      </c>
      <c r="H419">
        <v>0.42</v>
      </c>
      <c r="I419">
        <v>-1.08</v>
      </c>
      <c r="J419">
        <v>0.5</v>
      </c>
      <c r="K419">
        <v>1.22</v>
      </c>
      <c r="L419">
        <v>2.0299999999999998</v>
      </c>
      <c r="M419" s="25">
        <v>-0.27200000000000002</v>
      </c>
      <c r="N419" s="25">
        <v>-0.12230000000000001</v>
      </c>
      <c r="O419">
        <v>2.91</v>
      </c>
      <c r="P419" s="25">
        <v>-0.2752</v>
      </c>
      <c r="Q419" s="25">
        <v>-8.8599999999999998E-2</v>
      </c>
      <c r="R419" s="26">
        <v>37329.300000000003</v>
      </c>
      <c r="S419" s="26">
        <v>221569000</v>
      </c>
      <c r="T419">
        <v>0.05</v>
      </c>
      <c r="U419" s="25">
        <v>-0.12529999999999999</v>
      </c>
    </row>
    <row r="420" spans="1:21" x14ac:dyDescent="0.25">
      <c r="A420" t="s">
        <v>462</v>
      </c>
      <c r="B420">
        <v>4.54</v>
      </c>
      <c r="C420">
        <v>7.62</v>
      </c>
      <c r="D420">
        <v>2.4900000000000002</v>
      </c>
      <c r="E420">
        <v>0.51800000000000002</v>
      </c>
      <c r="F420" s="25">
        <v>0.15820000000000001</v>
      </c>
      <c r="G420">
        <v>0.67900000000000005</v>
      </c>
      <c r="H420">
        <v>16.09</v>
      </c>
      <c r="I420">
        <v>5.89</v>
      </c>
      <c r="J420">
        <v>-17.75</v>
      </c>
      <c r="K420">
        <v>4.37</v>
      </c>
      <c r="L420">
        <v>3.58</v>
      </c>
      <c r="M420" s="25">
        <v>8.7900000000000006E-2</v>
      </c>
      <c r="N420" s="25">
        <v>6.8099999999999994E-2</v>
      </c>
      <c r="O420">
        <v>1.07</v>
      </c>
      <c r="P420" s="25">
        <v>0.38919999999999999</v>
      </c>
      <c r="Q420" s="25">
        <v>0.32669999999999999</v>
      </c>
      <c r="R420" s="26">
        <v>25911.8</v>
      </c>
      <c r="S420" s="26">
        <v>2738890000</v>
      </c>
      <c r="T420">
        <v>0.41</v>
      </c>
      <c r="U420" s="25">
        <v>5.9700000000000003E-2</v>
      </c>
    </row>
    <row r="421" spans="1:21" x14ac:dyDescent="0.25">
      <c r="A421" t="s">
        <v>13</v>
      </c>
      <c r="B421">
        <v>4.95</v>
      </c>
      <c r="C421">
        <v>8.31</v>
      </c>
      <c r="D421">
        <v>2.72</v>
      </c>
      <c r="E421">
        <v>0.56499999999999995</v>
      </c>
      <c r="F421" s="25">
        <v>0.15959999999999999</v>
      </c>
      <c r="G421">
        <v>0.74</v>
      </c>
      <c r="H421">
        <v>17.54</v>
      </c>
      <c r="I421">
        <v>6.43</v>
      </c>
      <c r="J421">
        <v>-19.350000000000001</v>
      </c>
      <c r="K421">
        <v>4.9000000000000004</v>
      </c>
      <c r="L421">
        <v>4.0199999999999996</v>
      </c>
      <c r="M421" s="25">
        <v>8.7900000000000006E-2</v>
      </c>
      <c r="N421" s="25">
        <v>6.8099999999999994E-2</v>
      </c>
      <c r="O421">
        <v>1.07</v>
      </c>
      <c r="P421" s="25">
        <v>0.38919999999999999</v>
      </c>
      <c r="Q421" s="25">
        <v>0.32669999999999999</v>
      </c>
      <c r="R421" s="26">
        <v>50759.8</v>
      </c>
      <c r="S421" s="26">
        <v>2738890000</v>
      </c>
      <c r="T421">
        <v>0.41</v>
      </c>
      <c r="U421" s="25">
        <v>5.9700000000000003E-2</v>
      </c>
    </row>
    <row r="422" spans="1:21" x14ac:dyDescent="0.25">
      <c r="A422" t="s">
        <v>119</v>
      </c>
      <c r="B422">
        <v>7.65</v>
      </c>
      <c r="C422">
        <v>7.23</v>
      </c>
      <c r="D422">
        <v>2.06</v>
      </c>
      <c r="E422">
        <v>0.93700000000000006</v>
      </c>
      <c r="F422" s="25">
        <v>3.27E-2</v>
      </c>
      <c r="G422">
        <v>0.47799999999999998</v>
      </c>
      <c r="H422">
        <v>51.95</v>
      </c>
      <c r="I422">
        <v>1.88</v>
      </c>
      <c r="J422">
        <v>-1.7</v>
      </c>
      <c r="K422">
        <v>1.82</v>
      </c>
      <c r="L422">
        <v>1.55</v>
      </c>
      <c r="M422" s="25">
        <v>0.49940000000000001</v>
      </c>
      <c r="N422" s="25">
        <v>0.2402</v>
      </c>
      <c r="O422">
        <v>1.04</v>
      </c>
      <c r="P422" s="25">
        <v>0.33579999999999999</v>
      </c>
      <c r="Q422" s="25">
        <v>0.28539999999999999</v>
      </c>
      <c r="R422" s="26">
        <v>3086210</v>
      </c>
      <c r="S422" s="26">
        <v>593034000</v>
      </c>
      <c r="T422">
        <v>0.68</v>
      </c>
      <c r="U422" s="25">
        <v>0.12720000000000001</v>
      </c>
    </row>
    <row r="423" spans="1:21" x14ac:dyDescent="0.25">
      <c r="A423" t="s">
        <v>463</v>
      </c>
      <c r="B423">
        <v>24.25</v>
      </c>
      <c r="C423">
        <v>7.08</v>
      </c>
      <c r="D423">
        <v>1.1100000000000001</v>
      </c>
      <c r="E423">
        <v>0.28899999999999998</v>
      </c>
      <c r="F423" s="25">
        <v>6.0499999999999998E-2</v>
      </c>
      <c r="G423">
        <v>0.61899999999999999</v>
      </c>
      <c r="H423">
        <v>1.81</v>
      </c>
      <c r="I423">
        <v>5.04</v>
      </c>
      <c r="J423">
        <v>4.13</v>
      </c>
      <c r="K423">
        <v>6.97</v>
      </c>
      <c r="L423">
        <v>6.73</v>
      </c>
      <c r="M423" s="25">
        <v>5.7299999999999997E-2</v>
      </c>
      <c r="N423" s="25">
        <v>4.0800000000000003E-2</v>
      </c>
      <c r="O423">
        <v>2.36</v>
      </c>
      <c r="P423" s="25">
        <v>0.1381</v>
      </c>
      <c r="Q423" s="25">
        <v>0.15690000000000001</v>
      </c>
      <c r="R423" s="26">
        <v>789.76</v>
      </c>
      <c r="S423" s="26">
        <v>794718000</v>
      </c>
      <c r="T423">
        <v>0.53</v>
      </c>
      <c r="U423" s="25">
        <v>0.26329999999999998</v>
      </c>
    </row>
    <row r="424" spans="1:21" x14ac:dyDescent="0.25">
      <c r="A424" t="s">
        <v>464</v>
      </c>
      <c r="B424">
        <v>26.62</v>
      </c>
      <c r="C424">
        <v>7.77</v>
      </c>
      <c r="D424">
        <v>1.22</v>
      </c>
      <c r="E424">
        <v>0.317</v>
      </c>
      <c r="F424" s="25">
        <v>6.0600000000000001E-2</v>
      </c>
      <c r="G424">
        <v>0.68</v>
      </c>
      <c r="H424">
        <v>1.99</v>
      </c>
      <c r="I424">
        <v>5.54</v>
      </c>
      <c r="J424">
        <v>4.53</v>
      </c>
      <c r="K424" s="26">
        <v>7.46</v>
      </c>
      <c r="L424">
        <v>7.2</v>
      </c>
      <c r="M424" s="25">
        <v>5.7299999999999997E-2</v>
      </c>
      <c r="N424" s="25">
        <v>4.0800000000000003E-2</v>
      </c>
      <c r="O424">
        <v>2.36</v>
      </c>
      <c r="P424" s="25">
        <v>0.1381</v>
      </c>
      <c r="Q424" s="25">
        <v>0.15690000000000001</v>
      </c>
      <c r="R424" s="26">
        <v>29155.599999999999</v>
      </c>
      <c r="S424" s="26">
        <v>794718000</v>
      </c>
      <c r="T424">
        <v>0.53</v>
      </c>
      <c r="U424" s="25">
        <v>0.26329999999999998</v>
      </c>
    </row>
    <row r="425" spans="1:21" x14ac:dyDescent="0.25">
      <c r="A425" t="s">
        <v>206</v>
      </c>
      <c r="B425">
        <v>16.53</v>
      </c>
      <c r="C425" s="26">
        <v>14.18</v>
      </c>
      <c r="D425">
        <v>1.46</v>
      </c>
      <c r="E425">
        <v>0.84299999999999997</v>
      </c>
      <c r="F425" s="25">
        <v>3.4500000000000003E-2</v>
      </c>
      <c r="G425">
        <v>0.46100000000000002</v>
      </c>
      <c r="H425">
        <v>7.09</v>
      </c>
      <c r="I425">
        <v>5.2</v>
      </c>
      <c r="J425">
        <v>-1.05</v>
      </c>
      <c r="K425">
        <v>10.3</v>
      </c>
      <c r="L425">
        <v>5.3</v>
      </c>
      <c r="M425" s="25">
        <v>0.16200000000000001</v>
      </c>
      <c r="N425" s="25">
        <v>5.9400000000000001E-2</v>
      </c>
      <c r="O425">
        <v>1.36</v>
      </c>
      <c r="P425" s="25">
        <v>0.1003</v>
      </c>
      <c r="Q425" s="25">
        <v>0.10290000000000001</v>
      </c>
      <c r="R425" s="26">
        <v>78442500</v>
      </c>
      <c r="S425" s="26">
        <v>3103980000</v>
      </c>
      <c r="T425">
        <v>1.73</v>
      </c>
      <c r="U425" s="25">
        <v>7.7600000000000002E-2</v>
      </c>
    </row>
    <row r="426" spans="1:21" x14ac:dyDescent="0.25">
      <c r="A426" t="s">
        <v>243</v>
      </c>
      <c r="B426">
        <v>3.47</v>
      </c>
      <c r="C426" s="26">
        <v>-9.8000000000000007</v>
      </c>
      <c r="D426">
        <v>0.93</v>
      </c>
      <c r="E426">
        <v>0.30099999999999999</v>
      </c>
      <c r="F426" s="25">
        <v>0</v>
      </c>
      <c r="G426">
        <v>0.32500000000000001</v>
      </c>
      <c r="H426">
        <v>11.64</v>
      </c>
      <c r="I426">
        <v>-900.83</v>
      </c>
      <c r="J426">
        <v>-0.78</v>
      </c>
      <c r="K426" s="26">
        <v>-1375.18</v>
      </c>
      <c r="L426">
        <v>4.38</v>
      </c>
      <c r="M426" s="25">
        <v>-2.9999999999999997E-4</v>
      </c>
      <c r="N426" s="25">
        <v>-3.0700000000000002E-2</v>
      </c>
      <c r="O426">
        <v>1.1399999999999999</v>
      </c>
      <c r="P426" s="25">
        <v>-4.0000000000000002E-4</v>
      </c>
      <c r="Q426" s="25">
        <v>-9.4799999999999995E-2</v>
      </c>
      <c r="R426" s="26">
        <v>3743480</v>
      </c>
      <c r="S426" s="26">
        <v>1519080000</v>
      </c>
      <c r="T426">
        <v>0.74</v>
      </c>
      <c r="U426" s="25">
        <v>0.2024</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AE7E6-57AD-445D-9994-5BCB8AAB6E6D}">
  <dimension ref="A1:N53"/>
  <sheetViews>
    <sheetView workbookViewId="0">
      <selection activeCell="A2" sqref="A2:A22"/>
    </sheetView>
  </sheetViews>
  <sheetFormatPr defaultRowHeight="15" x14ac:dyDescent="0.25"/>
  <cols>
    <col min="1" max="1" width="11.7109375" customWidth="1"/>
    <col min="2" max="2" width="14.140625" customWidth="1"/>
    <col min="3" max="6" width="11.7109375" customWidth="1"/>
    <col min="7" max="7" width="14.42578125" customWidth="1"/>
    <col min="8" max="8" width="12.85546875" customWidth="1"/>
    <col min="9" max="9" width="12.5703125" customWidth="1"/>
    <col min="10" max="10" width="11.7109375" customWidth="1"/>
  </cols>
  <sheetData>
    <row r="1" spans="1:14" x14ac:dyDescent="0.25">
      <c r="A1" t="s">
        <v>477</v>
      </c>
      <c r="B1" s="79">
        <v>45815</v>
      </c>
      <c r="C1" s="79">
        <v>45822</v>
      </c>
      <c r="D1" s="79">
        <v>45829</v>
      </c>
      <c r="E1" s="79">
        <v>45836</v>
      </c>
      <c r="F1" s="79">
        <v>45843</v>
      </c>
      <c r="J1" s="79"/>
      <c r="K1" s="79"/>
      <c r="L1" s="79"/>
      <c r="M1" s="79"/>
      <c r="N1" s="79"/>
    </row>
    <row r="2" spans="1:14" x14ac:dyDescent="0.25">
      <c r="A2" s="93"/>
      <c r="B2" s="92"/>
      <c r="C2" s="92"/>
      <c r="D2" s="92"/>
      <c r="E2" s="92"/>
      <c r="F2" s="92"/>
    </row>
    <row r="3" spans="1:14" x14ac:dyDescent="0.25">
      <c r="A3" s="93"/>
      <c r="B3" s="92"/>
      <c r="C3" s="92"/>
      <c r="D3" s="92"/>
      <c r="E3" s="92"/>
      <c r="F3" s="92"/>
    </row>
    <row r="4" spans="1:14" x14ac:dyDescent="0.25">
      <c r="A4" s="93"/>
      <c r="B4" s="92"/>
      <c r="C4" s="92"/>
      <c r="D4" s="92"/>
      <c r="E4" s="92"/>
      <c r="F4" s="92"/>
    </row>
    <row r="5" spans="1:14" x14ac:dyDescent="0.25">
      <c r="A5" s="93"/>
      <c r="B5" s="92"/>
      <c r="C5" s="92"/>
      <c r="D5" s="92"/>
      <c r="E5" s="92"/>
      <c r="F5" s="92"/>
    </row>
    <row r="6" spans="1:14" x14ac:dyDescent="0.25">
      <c r="A6" s="93"/>
      <c r="B6" s="92"/>
      <c r="C6" s="92"/>
      <c r="D6" s="92"/>
      <c r="E6" s="92"/>
      <c r="F6" s="92"/>
    </row>
    <row r="7" spans="1:14" x14ac:dyDescent="0.25">
      <c r="B7" s="92"/>
      <c r="C7" s="92"/>
      <c r="D7" s="92"/>
      <c r="E7" s="92"/>
      <c r="F7" s="92"/>
    </row>
    <row r="8" spans="1:14" x14ac:dyDescent="0.25">
      <c r="B8" s="92"/>
      <c r="C8" s="92"/>
      <c r="D8" s="92"/>
      <c r="E8" s="92"/>
      <c r="F8" s="92"/>
    </row>
    <row r="9" spans="1:14" x14ac:dyDescent="0.25">
      <c r="B9" s="92"/>
      <c r="C9" s="92"/>
      <c r="D9" s="92"/>
      <c r="E9" s="92"/>
      <c r="F9" s="92"/>
    </row>
    <row r="10" spans="1:14" x14ac:dyDescent="0.25">
      <c r="A10" s="93"/>
      <c r="B10" s="92"/>
      <c r="C10" s="92"/>
      <c r="D10" s="92"/>
      <c r="E10" s="92"/>
      <c r="F10" s="92"/>
    </row>
    <row r="11" spans="1:14" x14ac:dyDescent="0.25">
      <c r="B11" s="92"/>
      <c r="C11" s="92"/>
      <c r="D11" s="92"/>
      <c r="E11" s="92"/>
      <c r="F11" s="92"/>
    </row>
    <row r="12" spans="1:14" x14ac:dyDescent="0.25">
      <c r="A12" s="93"/>
      <c r="B12" s="92"/>
      <c r="C12" s="92"/>
      <c r="D12" s="92"/>
      <c r="E12" s="92"/>
      <c r="F12" s="92"/>
    </row>
    <row r="13" spans="1:14" x14ac:dyDescent="0.25">
      <c r="B13" s="92"/>
      <c r="C13" s="92"/>
      <c r="D13" s="92"/>
      <c r="E13" s="92"/>
      <c r="F13" s="92"/>
    </row>
    <row r="14" spans="1:14" x14ac:dyDescent="0.25">
      <c r="A14" s="93"/>
      <c r="B14" s="92"/>
      <c r="C14" s="92"/>
      <c r="D14" s="92"/>
      <c r="E14" s="92"/>
      <c r="F14" s="92"/>
    </row>
    <row r="15" spans="1:14" x14ac:dyDescent="0.25">
      <c r="A15" s="93"/>
      <c r="B15" s="92"/>
      <c r="C15" s="92"/>
      <c r="D15" s="92"/>
      <c r="E15" s="92"/>
      <c r="F15" s="92"/>
    </row>
    <row r="16" spans="1:14" x14ac:dyDescent="0.25">
      <c r="B16" s="92"/>
      <c r="C16" s="92"/>
      <c r="D16" s="92"/>
      <c r="E16" s="92"/>
      <c r="F16" s="92"/>
    </row>
    <row r="17" spans="1:6" x14ac:dyDescent="0.25">
      <c r="A17" s="93"/>
      <c r="B17" s="92"/>
      <c r="C17" s="92"/>
      <c r="D17" s="92"/>
      <c r="E17" s="92"/>
      <c r="F17" s="92"/>
    </row>
    <row r="18" spans="1:6" x14ac:dyDescent="0.25">
      <c r="B18" s="92"/>
      <c r="C18" s="92"/>
      <c r="D18" s="92"/>
      <c r="E18" s="92"/>
      <c r="F18" s="92"/>
    </row>
    <row r="19" spans="1:6" x14ac:dyDescent="0.25">
      <c r="A19" s="93"/>
      <c r="B19" s="92"/>
      <c r="C19" s="92"/>
      <c r="D19" s="92"/>
      <c r="E19" s="92"/>
      <c r="F19" s="92"/>
    </row>
    <row r="20" spans="1:6" x14ac:dyDescent="0.25">
      <c r="A20" s="93"/>
      <c r="B20" s="92"/>
      <c r="C20" s="92"/>
      <c r="D20" s="92"/>
      <c r="E20" s="92"/>
      <c r="F20" s="92"/>
    </row>
    <row r="21" spans="1:6" x14ac:dyDescent="0.25">
      <c r="A21" s="93"/>
      <c r="B21" s="92"/>
      <c r="C21" s="92"/>
      <c r="D21" s="92"/>
      <c r="E21" s="92"/>
      <c r="F21" s="92"/>
    </row>
    <row r="22" spans="1:6" x14ac:dyDescent="0.25">
      <c r="A22" s="93"/>
      <c r="B22" s="92"/>
      <c r="C22" s="92"/>
      <c r="D22" s="92"/>
      <c r="E22" s="92"/>
      <c r="F22" s="92"/>
    </row>
    <row r="23" spans="1:6" x14ac:dyDescent="0.25">
      <c r="A23" s="93"/>
      <c r="B23" s="92"/>
      <c r="C23" s="92"/>
      <c r="D23" s="92"/>
      <c r="E23" s="92"/>
      <c r="F23" s="92"/>
    </row>
    <row r="24" spans="1:6" x14ac:dyDescent="0.25">
      <c r="A24" s="93"/>
      <c r="B24" s="92"/>
      <c r="C24" s="92"/>
      <c r="D24" s="92"/>
      <c r="E24" s="92"/>
      <c r="F24" s="92"/>
    </row>
    <row r="25" spans="1:6" x14ac:dyDescent="0.25">
      <c r="A25" s="93"/>
      <c r="B25" s="92"/>
      <c r="C25" s="92"/>
      <c r="D25" s="92"/>
      <c r="E25" s="92"/>
      <c r="F25" s="92"/>
    </row>
    <row r="26" spans="1:6" x14ac:dyDescent="0.25">
      <c r="A26" s="93"/>
      <c r="B26" s="92"/>
      <c r="C26" s="92"/>
      <c r="D26" s="92"/>
      <c r="E26" s="92"/>
      <c r="F26" s="92"/>
    </row>
    <row r="27" spans="1:6" x14ac:dyDescent="0.25">
      <c r="A27" s="93"/>
      <c r="B27" s="92"/>
      <c r="C27" s="92"/>
      <c r="D27" s="92"/>
      <c r="E27" s="92"/>
      <c r="F27" s="92"/>
    </row>
    <row r="28" spans="1:6" x14ac:dyDescent="0.25">
      <c r="A28" s="93"/>
      <c r="B28" s="92"/>
      <c r="C28" s="92"/>
      <c r="D28" s="92"/>
      <c r="E28" s="92"/>
      <c r="F28" s="92"/>
    </row>
    <row r="29" spans="1:6" x14ac:dyDescent="0.25">
      <c r="A29" s="93"/>
      <c r="B29" s="92"/>
      <c r="C29" s="92"/>
      <c r="D29" s="92"/>
      <c r="E29" s="92"/>
      <c r="F29" s="92"/>
    </row>
    <row r="30" spans="1:6" x14ac:dyDescent="0.25">
      <c r="A30" s="93"/>
      <c r="B30" s="92"/>
      <c r="C30" s="92"/>
      <c r="D30" s="92"/>
      <c r="E30" s="92"/>
      <c r="F30" s="92"/>
    </row>
    <row r="31" spans="1:6" x14ac:dyDescent="0.25">
      <c r="A31" s="93"/>
      <c r="B31" s="92"/>
      <c r="C31" s="92"/>
      <c r="D31" s="92"/>
      <c r="E31" s="92"/>
      <c r="F31" s="92"/>
    </row>
    <row r="32" spans="1:6" x14ac:dyDescent="0.25">
      <c r="A32" s="93"/>
      <c r="B32" s="92"/>
      <c r="C32" s="92"/>
      <c r="D32" s="92"/>
      <c r="E32" s="92"/>
      <c r="F32" s="92"/>
    </row>
    <row r="33" spans="1:6" x14ac:dyDescent="0.25">
      <c r="A33" s="93"/>
      <c r="B33" s="92"/>
      <c r="C33" s="92"/>
      <c r="D33" s="92"/>
      <c r="E33" s="92"/>
      <c r="F33" s="92"/>
    </row>
    <row r="34" spans="1:6" x14ac:dyDescent="0.25">
      <c r="A34" s="93"/>
      <c r="B34" s="92"/>
      <c r="C34" s="92"/>
      <c r="D34" s="92"/>
      <c r="E34" s="92"/>
      <c r="F34" s="92"/>
    </row>
    <row r="35" spans="1:6" x14ac:dyDescent="0.25">
      <c r="B35" s="92"/>
      <c r="C35" s="92"/>
      <c r="D35" s="92"/>
      <c r="E35" s="92"/>
      <c r="F35" s="92"/>
    </row>
    <row r="36" spans="1:6" x14ac:dyDescent="0.25">
      <c r="B36" s="92"/>
      <c r="C36" s="92"/>
      <c r="D36" s="92"/>
      <c r="E36" s="92"/>
      <c r="F36" s="92"/>
    </row>
    <row r="37" spans="1:6" x14ac:dyDescent="0.25">
      <c r="B37" s="92"/>
      <c r="C37" s="92"/>
      <c r="D37" s="92"/>
      <c r="E37" s="92"/>
      <c r="F37" s="92"/>
    </row>
    <row r="38" spans="1:6" x14ac:dyDescent="0.25">
      <c r="B38" s="92"/>
      <c r="C38" s="92"/>
      <c r="D38" s="92"/>
      <c r="E38" s="92"/>
      <c r="F38" s="92"/>
    </row>
    <row r="39" spans="1:6" x14ac:dyDescent="0.25">
      <c r="B39" s="92"/>
      <c r="C39" s="92"/>
      <c r="D39" s="92"/>
      <c r="E39" s="92"/>
      <c r="F39" s="92"/>
    </row>
    <row r="40" spans="1:6" x14ac:dyDescent="0.25">
      <c r="B40" s="92"/>
      <c r="C40" s="92"/>
      <c r="D40" s="92"/>
      <c r="E40" s="92"/>
      <c r="F40" s="92"/>
    </row>
    <row r="41" spans="1:6" x14ac:dyDescent="0.25">
      <c r="B41" s="92"/>
      <c r="C41" s="92"/>
      <c r="D41" s="92"/>
      <c r="E41" s="92"/>
      <c r="F41" s="92"/>
    </row>
    <row r="42" spans="1:6" x14ac:dyDescent="0.25">
      <c r="B42" s="92"/>
      <c r="C42" s="92"/>
      <c r="D42" s="92"/>
      <c r="E42" s="92"/>
      <c r="F42" s="92"/>
    </row>
    <row r="43" spans="1:6" x14ac:dyDescent="0.25">
      <c r="B43" s="92"/>
      <c r="C43" s="92"/>
      <c r="D43" s="92"/>
      <c r="E43" s="92"/>
      <c r="F43" s="92"/>
    </row>
    <row r="44" spans="1:6" x14ac:dyDescent="0.25">
      <c r="B44" s="92"/>
      <c r="C44" s="92"/>
      <c r="D44" s="92"/>
      <c r="E44" s="92"/>
      <c r="F44" s="92"/>
    </row>
    <row r="45" spans="1:6" x14ac:dyDescent="0.25">
      <c r="B45" s="92"/>
      <c r="C45" s="92"/>
      <c r="D45" s="92"/>
      <c r="E45" s="92"/>
      <c r="F45" s="92"/>
    </row>
    <row r="46" spans="1:6" x14ac:dyDescent="0.25">
      <c r="B46" s="92"/>
      <c r="C46" s="92"/>
      <c r="D46" s="92"/>
      <c r="E46" s="92"/>
      <c r="F46" s="92"/>
    </row>
    <row r="47" spans="1:6" x14ac:dyDescent="0.25">
      <c r="B47" s="92"/>
      <c r="C47" s="92"/>
      <c r="D47" s="92"/>
      <c r="E47" s="92"/>
      <c r="F47" s="92"/>
    </row>
    <row r="48" spans="1:6" x14ac:dyDescent="0.25">
      <c r="B48" s="92"/>
      <c r="C48" s="92"/>
      <c r="D48" s="92"/>
      <c r="E48" s="92"/>
      <c r="F48" s="92"/>
    </row>
    <row r="49" spans="2:6" x14ac:dyDescent="0.25">
      <c r="B49" s="92"/>
      <c r="C49" s="92"/>
      <c r="D49" s="92"/>
      <c r="E49" s="92"/>
      <c r="F49" s="92"/>
    </row>
    <row r="50" spans="2:6" x14ac:dyDescent="0.25">
      <c r="B50" s="92"/>
      <c r="C50" s="92"/>
      <c r="D50" s="92"/>
      <c r="E50" s="92"/>
      <c r="F50" s="92"/>
    </row>
    <row r="51" spans="2:6" x14ac:dyDescent="0.25">
      <c r="B51" s="91"/>
      <c r="C51" s="91"/>
      <c r="D51" s="91"/>
      <c r="E51" s="91"/>
      <c r="F51" s="91"/>
    </row>
    <row r="52" spans="2:6" x14ac:dyDescent="0.25">
      <c r="B52" s="91"/>
      <c r="C52" s="91"/>
      <c r="D52" s="91"/>
      <c r="E52" s="91"/>
      <c r="F52" s="91"/>
    </row>
    <row r="53" spans="2:6" x14ac:dyDescent="0.25">
      <c r="B53" s="91"/>
      <c r="C53" s="91"/>
      <c r="D53" s="91"/>
      <c r="E53" s="91"/>
      <c r="F53" s="91"/>
    </row>
  </sheetData>
  <sortState xmlns:xlrd2="http://schemas.microsoft.com/office/spreadsheetml/2017/richdata2" ref="A2:N44">
    <sortCondition descending="1" ref="A2:A44"/>
  </sortState>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D2283-556C-4F35-8238-B84D10EF6A3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Bovespa</vt:lpstr>
      <vt:lpstr>Streamlit</vt:lpstr>
      <vt:lpstr>Criptos</vt:lpstr>
      <vt:lpstr>ETF</vt:lpstr>
      <vt:lpstr>FII</vt:lpstr>
      <vt:lpstr>Fundamentus</vt:lpstr>
      <vt:lpstr>Cotacoes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Paranhos</dc:creator>
  <cp:lastModifiedBy>Marcelo Paranhos</cp:lastModifiedBy>
  <dcterms:created xsi:type="dcterms:W3CDTF">2015-06-05T18:19:34Z</dcterms:created>
  <dcterms:modified xsi:type="dcterms:W3CDTF">2025-07-13T01:04:01Z</dcterms:modified>
</cp:coreProperties>
</file>